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drawings/drawing14.xml" ContentType="application/vnd.openxmlformats-officedocument.drawing+xml"/>
  <Override PartName="/xl/comments11.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omments12.xml" ContentType="application/vnd.openxmlformats-officedocument.spreadsheetml.comments+xml"/>
  <Override PartName="/xl/drawings/drawing17.xml" ContentType="application/vnd.openxmlformats-officedocument.drawing+xml"/>
  <Override PartName="/xl/comments13.xml" ContentType="application/vnd.openxmlformats-officedocument.spreadsheetml.comments+xml"/>
  <Override PartName="/xl/drawings/drawing18.xml" ContentType="application/vnd.openxmlformats-officedocument.drawing+xml"/>
  <Override PartName="/xl/comments14.xml" ContentType="application/vnd.openxmlformats-officedocument.spreadsheetml.comments+xml"/>
  <Override PartName="/xl/drawings/drawing19.xml" ContentType="application/vnd.openxmlformats-officedocument.drawing+xml"/>
  <Override PartName="/xl/comments15.xml" ContentType="application/vnd.openxmlformats-officedocument.spreadsheetml.comments+xml"/>
  <Override PartName="/xl/drawings/drawing20.xml" ContentType="application/vnd.openxmlformats-officedocument.drawing+xml"/>
  <Override PartName="/xl/comments16.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17.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comments18.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comments19.xml" ContentType="application/vnd.openxmlformats-officedocument.spreadsheetml.comments+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G:\Mi unidad\PlanDesarrollo 2024-2027\Plan de Accion Distrital\2024\Seguimiento\Cuadro 1S\Marzo\"/>
    </mc:Choice>
  </mc:AlternateContent>
  <xr:revisionPtr revIDLastSave="0" documentId="13_ncr:1_{BAACB368-2D03-4402-A1C9-F321100BE0D8}" xr6:coauthVersionLast="47" xr6:coauthVersionMax="47" xr10:uidLastSave="{00000000-0000-0000-0000-000000000000}"/>
  <bookViews>
    <workbookView xWindow="-108" yWindow="-108" windowWidth="23256" windowHeight="12456" tabRatio="589" xr2:uid="{00000000-000D-0000-FFFF-FFFF00000000}"/>
  </bookViews>
  <sheets>
    <sheet name="Marzo de 2024" sheetId="5" r:id="rId1"/>
    <sheet name="4112 Gobierno" sheetId="42" r:id="rId2"/>
    <sheet name="4121 Juridica" sheetId="43" r:id="rId3"/>
    <sheet name="4123 Control Interno" sheetId="45" r:id="rId4"/>
    <sheet name="4124 D Control Disciplinario" sheetId="46" r:id="rId5"/>
    <sheet name="4131 Hacienda" sheetId="47" r:id="rId6"/>
    <sheet name="4132 Planeacion" sheetId="41" r:id="rId7"/>
    <sheet name="4133 Dagma" sheetId="48" r:id="rId8"/>
    <sheet name="4134 DATIC" sheetId="59" r:id="rId9"/>
    <sheet name="4135 Contratacion" sheetId="60" r:id="rId10"/>
    <sheet name="4137 DADII" sheetId="61" r:id="rId11"/>
    <sheet name="4143 Educacion" sheetId="49" r:id="rId12"/>
    <sheet name="4145 Salud" sheetId="50" r:id="rId13"/>
    <sheet name="4146 Bienestar Social" sheetId="51" r:id="rId14"/>
    <sheet name="4147 Vivienda" sheetId="52" r:id="rId15"/>
    <sheet name="4148 Cultura" sheetId="53" r:id="rId16"/>
    <sheet name="4151 Infraestructura" sheetId="54" r:id="rId17"/>
    <sheet name="4152 Movilidad" sheetId="55" r:id="rId18"/>
    <sheet name="4161 Seguridad y Justicia" sheetId="56" r:id="rId19"/>
    <sheet name="4162 Deporte" sheetId="57" r:id="rId20"/>
    <sheet name="4163 Riesgo" sheetId="58" r:id="rId21"/>
    <sheet name="4164 Paz y CC" sheetId="62" r:id="rId22"/>
    <sheet name="4171 Desarrollo Eco" sheetId="63" r:id="rId23"/>
    <sheet name="4172 Turismo" sheetId="64" r:id="rId24"/>
    <sheet name="4173 Desarrollo Territorial" sheetId="65" r:id="rId25"/>
    <sheet name="4181 Bienes y Servicios" sheetId="66" r:id="rId26"/>
    <sheet name="4182 Servicios Publicos" sheetId="67" r:id="rId27"/>
    <sheet name="4181 Protección Animal" sheetId="77" r:id="rId28"/>
  </sheets>
  <externalReferences>
    <externalReference r:id="rId29"/>
  </externalReferences>
  <definedNames>
    <definedName name="_xlnm._FilterDatabase" localSheetId="1" hidden="1">'4112 Gobierno'!$A$5:$Y$6</definedName>
    <definedName name="_xlnm._FilterDatabase" localSheetId="2" hidden="1">'4121 Juridica'!$A$5:$Y$6</definedName>
    <definedName name="_xlnm._FilterDatabase" localSheetId="3" hidden="1">'4123 Control Interno'!$A$5:$Y$6</definedName>
    <definedName name="_xlnm._FilterDatabase" localSheetId="4" hidden="1">'4124 D Control Disciplinario'!$A$5:$Y$6</definedName>
    <definedName name="_xlnm._FilterDatabase" localSheetId="5" hidden="1">'4131 Hacienda'!$A$5:$Y$6</definedName>
    <definedName name="_xlnm._FilterDatabase" localSheetId="6" hidden="1">'4132 Planeacion'!$A$5:$Y$6</definedName>
    <definedName name="_xlnm._FilterDatabase" localSheetId="7" hidden="1">'4133 Dagma'!$A$5:$Y$6</definedName>
    <definedName name="_xlnm._FilterDatabase" localSheetId="8" hidden="1">'4134 DATIC'!$A$5:$Y$6</definedName>
    <definedName name="_xlnm._FilterDatabase" localSheetId="9" hidden="1">'4135 Contratacion'!$A$5:$Y$6</definedName>
    <definedName name="_xlnm._FilterDatabase" localSheetId="10" hidden="1">'4137 DADII'!$A$5:$Y$6</definedName>
    <definedName name="_xlnm._FilterDatabase" localSheetId="11" hidden="1">'4143 Educacion'!$A$5:$Y$159</definedName>
    <definedName name="_xlnm._FilterDatabase" localSheetId="12" hidden="1">'4145 Salud'!$A$5:$Y$6</definedName>
    <definedName name="_xlnm._FilterDatabase" localSheetId="13" hidden="1">'4146 Bienestar Social'!$A$5:$Y$6</definedName>
    <definedName name="_xlnm._FilterDatabase" localSheetId="14" hidden="1">'4147 Vivienda'!$A$5:$Y$68</definedName>
    <definedName name="_xlnm._FilterDatabase" localSheetId="15" hidden="1">'4148 Cultura'!$A$4:$Y$4</definedName>
    <definedName name="_xlnm._FilterDatabase" localSheetId="16" hidden="1">'4151 Infraestructura'!$A$5:$Y$6</definedName>
    <definedName name="_xlnm._FilterDatabase" localSheetId="17" hidden="1">'4152 Movilidad'!$A$5:$Y$67</definedName>
    <definedName name="_xlnm._FilterDatabase" localSheetId="18" hidden="1">'4161 Seguridad y Justicia'!$A$5:$Y$149</definedName>
    <definedName name="_xlnm._FilterDatabase" localSheetId="19" hidden="1">'4162 Deporte'!$A$5:$Y$6</definedName>
    <definedName name="_xlnm._FilterDatabase" localSheetId="20" hidden="1">'4163 Riesgo'!$A$5:$Y$6</definedName>
    <definedName name="_xlnm._FilterDatabase" localSheetId="21" hidden="1">'4164 Paz y CC'!$A$5:$Y$6</definedName>
    <definedName name="_xlnm._FilterDatabase" localSheetId="22" hidden="1">'4171 Desarrollo Eco'!$A$5:$Y$149</definedName>
    <definedName name="_xlnm._FilterDatabase" localSheetId="23" hidden="1">'4172 Turismo'!$A$5:$Y$6</definedName>
    <definedName name="_xlnm._FilterDatabase" localSheetId="24" hidden="1">'4173 Desarrollo Territorial'!$A$5:$Y$6</definedName>
    <definedName name="_xlnm._FilterDatabase" localSheetId="25" hidden="1">'4181 Bienes y Servicios'!$A$5:$Y$6</definedName>
    <definedName name="_xlnm._FilterDatabase" localSheetId="27" hidden="1">'4181 Protección Animal'!$A$5:$Y$6</definedName>
    <definedName name="_xlnm._FilterDatabase" localSheetId="26" hidden="1">'4182 Servicios Publicos'!$A$5:$Y$6</definedName>
    <definedName name="_xlnm.Print_Area" localSheetId="14">'4147 Vivienda'!$A$2:$Y$6</definedName>
    <definedName name="datos">#N/A</definedName>
    <definedName name="_xlnm.Print_Titles" localSheetId="1">'4112 Gobierno'!$2:$6</definedName>
    <definedName name="_xlnm.Print_Titles" localSheetId="2">'4121 Juridica'!$2:$6</definedName>
    <definedName name="_xlnm.Print_Titles" localSheetId="3">'4123 Control Interno'!$2:$6</definedName>
    <definedName name="_xlnm.Print_Titles" localSheetId="4">'4124 D Control Disciplinario'!$2:$6</definedName>
    <definedName name="_xlnm.Print_Titles" localSheetId="5">'4131 Hacienda'!$2:$6</definedName>
    <definedName name="_xlnm.Print_Titles" localSheetId="6">'4132 Planeacion'!$2:$6</definedName>
    <definedName name="_xlnm.Print_Titles" localSheetId="7">'4133 Dagma'!$2:$6</definedName>
    <definedName name="_xlnm.Print_Titles" localSheetId="8">'4134 DATIC'!$2:$6</definedName>
    <definedName name="_xlnm.Print_Titles" localSheetId="9">'4135 Contratacion'!$2:$6</definedName>
    <definedName name="_xlnm.Print_Titles" localSheetId="10">'4137 DADII'!$2:$6</definedName>
    <definedName name="_xlnm.Print_Titles" localSheetId="11">'4143 Educacion'!$2:$5</definedName>
    <definedName name="_xlnm.Print_Titles" localSheetId="12">'4145 Salud'!$2:$6</definedName>
    <definedName name="_xlnm.Print_Titles" localSheetId="13">'4146 Bienestar Social'!$2:$6</definedName>
    <definedName name="_xlnm.Print_Titles" localSheetId="14">'4147 Vivienda'!$2:$6</definedName>
    <definedName name="_xlnm.Print_Titles" localSheetId="15">'4148 Cultura'!$2:$4</definedName>
    <definedName name="_xlnm.Print_Titles" localSheetId="16">'4151 Infraestructura'!$2:$6</definedName>
    <definedName name="_xlnm.Print_Titles" localSheetId="17">'4152 Movilidad'!$2:$6</definedName>
    <definedName name="_xlnm.Print_Titles" localSheetId="18">'4161 Seguridad y Justicia'!$2:$6</definedName>
    <definedName name="_xlnm.Print_Titles" localSheetId="19">'4162 Deporte'!$2:$6</definedName>
    <definedName name="_xlnm.Print_Titles" localSheetId="20">'4163 Riesgo'!$2:$6</definedName>
    <definedName name="_xlnm.Print_Titles" localSheetId="21">'4164 Paz y CC'!$2:$6</definedName>
    <definedName name="_xlnm.Print_Titles" localSheetId="22">'4171 Desarrollo Eco'!$2:$6</definedName>
    <definedName name="_xlnm.Print_Titles" localSheetId="23">'4172 Turismo'!$2:$6</definedName>
    <definedName name="_xlnm.Print_Titles" localSheetId="24">'4173 Desarrollo Territorial'!$2:$6</definedName>
    <definedName name="_xlnm.Print_Titles" localSheetId="25">'4181 Bienes y Servicios'!$2:$6</definedName>
    <definedName name="_xlnm.Print_Titles" localSheetId="27">'4181 Protección Animal'!$2:$6</definedName>
    <definedName name="_xlnm.Print_Titles" localSheetId="26">'4182 Servicios Publicos'!$2:$6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9" i="56" l="1"/>
  <c r="T149" i="56"/>
  <c r="U148" i="56"/>
  <c r="T148" i="56"/>
  <c r="U147" i="56"/>
  <c r="T147" i="56"/>
  <c r="U145" i="56"/>
  <c r="T145" i="56"/>
  <c r="U144" i="56"/>
  <c r="T144" i="56"/>
  <c r="U143" i="56"/>
  <c r="T143" i="56"/>
  <c r="U140" i="56"/>
  <c r="T140" i="56"/>
  <c r="U139" i="56"/>
  <c r="T139" i="56"/>
  <c r="U138" i="56"/>
  <c r="T138" i="56"/>
  <c r="U135" i="56"/>
  <c r="T135" i="56"/>
  <c r="U134" i="56"/>
  <c r="T134" i="56"/>
  <c r="U133" i="56"/>
  <c r="T133" i="56"/>
  <c r="U128" i="56"/>
  <c r="T128" i="56"/>
  <c r="U127" i="56"/>
  <c r="T127" i="56"/>
  <c r="U123" i="56"/>
  <c r="T123" i="56"/>
  <c r="U122" i="56"/>
  <c r="T122" i="56"/>
  <c r="U117" i="56"/>
  <c r="T117" i="56"/>
  <c r="U116" i="56"/>
  <c r="T116" i="56"/>
  <c r="U114" i="56"/>
  <c r="T114" i="56"/>
  <c r="U113" i="56"/>
  <c r="T113" i="56"/>
  <c r="U112" i="56"/>
  <c r="T112" i="56"/>
  <c r="U111" i="56"/>
  <c r="T111" i="56"/>
  <c r="U110" i="56"/>
  <c r="T110" i="56"/>
  <c r="U109" i="56"/>
  <c r="T109" i="56"/>
  <c r="U105" i="56"/>
  <c r="T105" i="56"/>
  <c r="U104" i="56"/>
  <c r="T104" i="56"/>
  <c r="U103" i="56"/>
  <c r="T103" i="56"/>
  <c r="U100" i="56"/>
  <c r="T100" i="56"/>
  <c r="U99" i="56"/>
  <c r="T99" i="56"/>
  <c r="U98" i="56"/>
  <c r="T98" i="56"/>
  <c r="U97" i="56"/>
  <c r="T97" i="56"/>
  <c r="U96" i="56"/>
  <c r="T96" i="56"/>
  <c r="U95" i="56"/>
  <c r="T95" i="56"/>
  <c r="U94" i="56"/>
  <c r="T94" i="56"/>
  <c r="U93" i="56"/>
  <c r="T93" i="56"/>
  <c r="U92" i="56"/>
  <c r="T92" i="56"/>
  <c r="U91" i="56"/>
  <c r="T91" i="56"/>
  <c r="U87" i="56"/>
  <c r="T87" i="56"/>
  <c r="U86" i="56"/>
  <c r="T86" i="56"/>
  <c r="U83" i="56"/>
  <c r="T83" i="56"/>
  <c r="U82" i="56"/>
  <c r="T82" i="56"/>
  <c r="U80" i="56"/>
  <c r="T80" i="56"/>
  <c r="U79" i="56"/>
  <c r="T79" i="56"/>
  <c r="U77" i="56"/>
  <c r="T77" i="56"/>
  <c r="U76" i="56"/>
  <c r="T76" i="56"/>
  <c r="U74" i="56"/>
  <c r="T74" i="56"/>
  <c r="U73" i="56"/>
  <c r="T73" i="56"/>
  <c r="U70" i="56"/>
  <c r="T70" i="56"/>
  <c r="U69" i="56"/>
  <c r="T69" i="56"/>
  <c r="U68" i="56"/>
  <c r="T68" i="56"/>
  <c r="U66" i="56"/>
  <c r="T66" i="56"/>
  <c r="U65" i="56"/>
  <c r="T65" i="56"/>
  <c r="U64" i="56"/>
  <c r="T64" i="56"/>
  <c r="U63" i="56"/>
  <c r="T63" i="56"/>
  <c r="U62" i="56"/>
  <c r="T62" i="56"/>
  <c r="U61" i="56"/>
  <c r="T61" i="56"/>
  <c r="U60" i="56"/>
  <c r="T60" i="56"/>
  <c r="U58" i="56"/>
  <c r="T58" i="56"/>
  <c r="U57" i="56"/>
  <c r="T57" i="56"/>
  <c r="U55" i="56"/>
  <c r="T55" i="56"/>
  <c r="U54" i="56"/>
  <c r="T54" i="56"/>
  <c r="U53" i="56"/>
  <c r="T53" i="56"/>
  <c r="U52" i="56"/>
  <c r="T52" i="56"/>
  <c r="U50" i="56"/>
  <c r="T50" i="56"/>
  <c r="U49" i="56"/>
  <c r="T49" i="56"/>
  <c r="U48" i="56"/>
  <c r="T48" i="56"/>
  <c r="U47" i="56"/>
  <c r="T47" i="56"/>
  <c r="U46" i="56"/>
  <c r="T46" i="56"/>
  <c r="U45" i="56"/>
  <c r="T45" i="56"/>
  <c r="U44" i="56"/>
  <c r="T44" i="56"/>
  <c r="U43" i="56"/>
  <c r="T43" i="56"/>
  <c r="U42" i="56"/>
  <c r="T42" i="56"/>
  <c r="U41" i="56"/>
  <c r="T41" i="56"/>
  <c r="U40" i="56"/>
  <c r="T40" i="56"/>
  <c r="U39" i="56"/>
  <c r="T39" i="56"/>
  <c r="U38" i="56"/>
  <c r="T38" i="56"/>
  <c r="U37" i="56"/>
  <c r="T37" i="56"/>
  <c r="U35" i="56"/>
  <c r="T35" i="56"/>
  <c r="U34" i="56"/>
  <c r="T34" i="56"/>
  <c r="U32" i="56"/>
  <c r="T32" i="56"/>
  <c r="U31" i="56"/>
  <c r="T31" i="56"/>
  <c r="U30" i="56"/>
  <c r="T30" i="56"/>
  <c r="U27" i="56"/>
  <c r="T27" i="56"/>
  <c r="U26" i="56"/>
  <c r="T26" i="56"/>
  <c r="U24" i="56"/>
  <c r="T24" i="56"/>
  <c r="U23" i="56"/>
  <c r="T23" i="56"/>
  <c r="U18" i="56"/>
  <c r="T18" i="56"/>
  <c r="U17" i="56"/>
  <c r="T17" i="56"/>
  <c r="U15" i="56"/>
  <c r="T15" i="56"/>
  <c r="U14" i="56"/>
  <c r="T14" i="56"/>
  <c r="U12" i="56"/>
  <c r="T12" i="56"/>
  <c r="U11" i="56"/>
  <c r="T11" i="56"/>
  <c r="G62" i="61" l="1"/>
  <c r="O63" i="61"/>
  <c r="U62" i="61"/>
  <c r="T62" i="61"/>
  <c r="U60" i="61"/>
  <c r="T60" i="61"/>
  <c r="U59" i="61"/>
  <c r="T59" i="61"/>
  <c r="U58" i="61"/>
  <c r="T58" i="61"/>
  <c r="U54" i="61"/>
  <c r="T54" i="61"/>
  <c r="U53" i="61"/>
  <c r="T53" i="61"/>
  <c r="U52" i="61"/>
  <c r="T52" i="61"/>
  <c r="U50" i="61"/>
  <c r="T50" i="61"/>
  <c r="U49" i="61"/>
  <c r="T49" i="61"/>
  <c r="U48" i="61"/>
  <c r="T48" i="61"/>
  <c r="U46" i="61"/>
  <c r="T46" i="61"/>
  <c r="U45" i="61"/>
  <c r="T45" i="61"/>
  <c r="U44" i="61"/>
  <c r="T44" i="61"/>
  <c r="U42" i="61"/>
  <c r="T42" i="61"/>
  <c r="U41" i="61"/>
  <c r="T41" i="61"/>
  <c r="U39" i="61"/>
  <c r="T39" i="61"/>
  <c r="U38" i="61"/>
  <c r="T38" i="61"/>
  <c r="U36" i="61"/>
  <c r="T36" i="61"/>
  <c r="U35" i="61"/>
  <c r="T35" i="61"/>
  <c r="U34" i="61"/>
  <c r="T34" i="61"/>
  <c r="U32" i="61"/>
  <c r="T32" i="61"/>
  <c r="U31" i="61"/>
  <c r="T31" i="61"/>
  <c r="U29" i="61"/>
  <c r="T29" i="61"/>
  <c r="U28" i="61"/>
  <c r="T28" i="61"/>
  <c r="U27" i="61"/>
  <c r="T27" i="61"/>
  <c r="U25" i="61"/>
  <c r="T25" i="61"/>
  <c r="U24" i="61"/>
  <c r="T24" i="61"/>
  <c r="U22" i="61"/>
  <c r="T22" i="61"/>
  <c r="U21" i="61"/>
  <c r="T21" i="61"/>
  <c r="U19" i="61"/>
  <c r="T19" i="61"/>
  <c r="U18" i="61"/>
  <c r="T18" i="61"/>
  <c r="U17" i="61"/>
  <c r="T17" i="61"/>
  <c r="U13" i="61"/>
  <c r="T13" i="61"/>
  <c r="U12" i="61"/>
  <c r="T12" i="61"/>
  <c r="U11" i="61"/>
  <c r="T11" i="61"/>
  <c r="O58" i="61"/>
  <c r="O52" i="61"/>
  <c r="O48" i="61"/>
  <c r="O44" i="61"/>
  <c r="O41" i="61"/>
  <c r="O38" i="61"/>
  <c r="O34" i="61"/>
  <c r="O31" i="61"/>
  <c r="O27" i="61"/>
  <c r="O24" i="61"/>
  <c r="O21" i="61"/>
  <c r="O17" i="61"/>
  <c r="O11" i="61"/>
  <c r="O27" i="54"/>
  <c r="O83" i="54"/>
  <c r="O80" i="54"/>
  <c r="O78" i="54"/>
  <c r="O75" i="54"/>
  <c r="O72" i="54"/>
  <c r="O68" i="54"/>
  <c r="O66" i="54"/>
  <c r="O64" i="54"/>
  <c r="O62" i="54"/>
  <c r="O60" i="54"/>
  <c r="O58" i="54"/>
  <c r="O56" i="54"/>
  <c r="O53" i="54"/>
  <c r="O51" i="54"/>
  <c r="O49" i="54"/>
  <c r="O46" i="54"/>
  <c r="O44" i="54"/>
  <c r="O41" i="54"/>
  <c r="O39" i="54"/>
  <c r="O37" i="54"/>
  <c r="O35" i="54"/>
  <c r="O33" i="54"/>
  <c r="O23" i="54"/>
  <c r="O18" i="54"/>
  <c r="O11" i="54"/>
  <c r="U15" i="77" l="1"/>
  <c r="T15" i="77"/>
  <c r="N15" i="77"/>
  <c r="U14" i="77"/>
  <c r="T14" i="77"/>
  <c r="N14" i="77"/>
  <c r="U13" i="77"/>
  <c r="T13" i="77"/>
  <c r="N13" i="77"/>
  <c r="U12" i="77"/>
  <c r="T12" i="77"/>
  <c r="N12" i="77"/>
  <c r="N11" i="77" s="1"/>
  <c r="O11" i="77" s="1"/>
  <c r="S11" i="77"/>
  <c r="R11" i="77"/>
  <c r="T11" i="77" s="1"/>
  <c r="L11" i="77"/>
  <c r="K11" i="77"/>
  <c r="U11" i="77" l="1"/>
  <c r="O87" i="67" l="1"/>
  <c r="O58" i="67"/>
  <c r="O52" i="67"/>
  <c r="O47" i="67"/>
  <c r="O45" i="67"/>
  <c r="O43" i="67"/>
  <c r="O40" i="67"/>
  <c r="O37" i="67"/>
  <c r="O34" i="67"/>
  <c r="O30" i="67"/>
  <c r="R100" i="67"/>
  <c r="T100" i="67" s="1"/>
  <c r="Q100" i="67"/>
  <c r="P100" i="67"/>
  <c r="C35" i="5"/>
  <c r="C100" i="67"/>
  <c r="U98" i="67"/>
  <c r="T98" i="67"/>
  <c r="U97" i="67"/>
  <c r="T97" i="67"/>
  <c r="S96" i="67"/>
  <c r="R96" i="67"/>
  <c r="U96" i="67" s="1"/>
  <c r="Q96" i="67"/>
  <c r="P96" i="67"/>
  <c r="N96" i="67"/>
  <c r="M96" i="67"/>
  <c r="L96" i="67"/>
  <c r="K96" i="67"/>
  <c r="U91" i="67"/>
  <c r="T91" i="67"/>
  <c r="S90" i="67"/>
  <c r="R90" i="67"/>
  <c r="Q90" i="67"/>
  <c r="P90" i="67"/>
  <c r="N90" i="67"/>
  <c r="M90" i="67"/>
  <c r="L90" i="67"/>
  <c r="K90" i="67"/>
  <c r="U88" i="67"/>
  <c r="T88" i="67"/>
  <c r="S87" i="67"/>
  <c r="R87" i="67"/>
  <c r="U87" i="67" s="1"/>
  <c r="Q87" i="67"/>
  <c r="P87" i="67"/>
  <c r="N87" i="67"/>
  <c r="M87" i="67"/>
  <c r="L87" i="67"/>
  <c r="K87" i="67"/>
  <c r="U83" i="67"/>
  <c r="T83" i="67"/>
  <c r="S82" i="67"/>
  <c r="R82" i="67"/>
  <c r="U82" i="67" s="1"/>
  <c r="Q82" i="67"/>
  <c r="T82" i="67" s="1"/>
  <c r="P82" i="67"/>
  <c r="N82" i="67"/>
  <c r="O82" i="67" s="1"/>
  <c r="M82" i="67"/>
  <c r="L82" i="67"/>
  <c r="U80" i="67"/>
  <c r="T80" i="67"/>
  <c r="S79" i="67"/>
  <c r="R79" i="67"/>
  <c r="U79" i="67" s="1"/>
  <c r="Q79" i="67"/>
  <c r="T79" i="67" s="1"/>
  <c r="P79" i="67"/>
  <c r="N79" i="67"/>
  <c r="M79" i="67"/>
  <c r="L79" i="67"/>
  <c r="K79" i="67"/>
  <c r="U77" i="67"/>
  <c r="T77" i="67"/>
  <c r="S76" i="67"/>
  <c r="R76" i="67"/>
  <c r="U76" i="67" s="1"/>
  <c r="Q76" i="67"/>
  <c r="T76" i="67" s="1"/>
  <c r="P76" i="67"/>
  <c r="N76" i="67"/>
  <c r="O76" i="67" s="1"/>
  <c r="M76" i="67"/>
  <c r="L76" i="67"/>
  <c r="K76" i="67"/>
  <c r="U74" i="67"/>
  <c r="T74" i="67"/>
  <c r="S73" i="67"/>
  <c r="R73" i="67"/>
  <c r="Q73" i="67"/>
  <c r="P73" i="67"/>
  <c r="N73" i="67"/>
  <c r="M73" i="67"/>
  <c r="L73" i="67"/>
  <c r="K73" i="67"/>
  <c r="U71" i="67"/>
  <c r="T71" i="67"/>
  <c r="U70" i="67"/>
  <c r="T70" i="67"/>
  <c r="S69" i="67"/>
  <c r="R69" i="67"/>
  <c r="U69" i="67" s="1"/>
  <c r="Q69" i="67"/>
  <c r="P69" i="67"/>
  <c r="N69" i="67"/>
  <c r="M69" i="67"/>
  <c r="L69" i="67"/>
  <c r="K69" i="67"/>
  <c r="U67" i="67"/>
  <c r="T67" i="67"/>
  <c r="S66" i="67"/>
  <c r="R66" i="67"/>
  <c r="U66" i="67" s="1"/>
  <c r="Q66" i="67"/>
  <c r="P66" i="67"/>
  <c r="N66" i="67"/>
  <c r="M66" i="67"/>
  <c r="L66" i="67"/>
  <c r="K66" i="67"/>
  <c r="U65" i="67"/>
  <c r="T65" i="67"/>
  <c r="U64" i="67"/>
  <c r="T64" i="67"/>
  <c r="S63" i="67"/>
  <c r="R63" i="67"/>
  <c r="U63" i="67" s="1"/>
  <c r="Q63" i="67"/>
  <c r="P63" i="67"/>
  <c r="N63" i="67"/>
  <c r="M63" i="67"/>
  <c r="L63" i="67"/>
  <c r="K63" i="67"/>
  <c r="U61" i="67"/>
  <c r="T61" i="67"/>
  <c r="S60" i="67"/>
  <c r="R60" i="67"/>
  <c r="Q60" i="67"/>
  <c r="P60" i="67"/>
  <c r="N60" i="67"/>
  <c r="M60" i="67"/>
  <c r="L60" i="67"/>
  <c r="U59" i="67"/>
  <c r="T59" i="67"/>
  <c r="S58" i="67"/>
  <c r="R58" i="67"/>
  <c r="Q58" i="67"/>
  <c r="T58" i="67" s="1"/>
  <c r="P58" i="67"/>
  <c r="N58" i="67"/>
  <c r="M58" i="67"/>
  <c r="L58" i="67"/>
  <c r="K57" i="67"/>
  <c r="U53" i="67"/>
  <c r="U52" i="67" s="1"/>
  <c r="T53" i="67"/>
  <c r="T52" i="67" s="1"/>
  <c r="S52" i="67"/>
  <c r="R52" i="67"/>
  <c r="Q52" i="67"/>
  <c r="P52" i="67"/>
  <c r="N52" i="67"/>
  <c r="L52" i="67"/>
  <c r="K52" i="67"/>
  <c r="U48" i="67"/>
  <c r="T48" i="67"/>
  <c r="S47" i="67"/>
  <c r="R47" i="67"/>
  <c r="U47" i="67" s="1"/>
  <c r="Q47" i="67"/>
  <c r="T47" i="67" s="1"/>
  <c r="P47" i="67"/>
  <c r="N47" i="67"/>
  <c r="M47" i="67"/>
  <c r="K47" i="67"/>
  <c r="U46" i="67"/>
  <c r="T46" i="67"/>
  <c r="S45" i="67"/>
  <c r="R45" i="67"/>
  <c r="U45" i="67" s="1"/>
  <c r="Q45" i="67"/>
  <c r="T45" i="67" s="1"/>
  <c r="P45" i="67"/>
  <c r="N45" i="67"/>
  <c r="M45" i="67"/>
  <c r="L45" i="67"/>
  <c r="K45" i="67"/>
  <c r="U44" i="67"/>
  <c r="T44" i="67"/>
  <c r="S43" i="67"/>
  <c r="R43" i="67"/>
  <c r="T43" i="67" s="1"/>
  <c r="Q43" i="67"/>
  <c r="P43" i="67"/>
  <c r="N43" i="67"/>
  <c r="M43" i="67"/>
  <c r="L43" i="67"/>
  <c r="K43" i="67"/>
  <c r="U41" i="67"/>
  <c r="T41" i="67"/>
  <c r="S40" i="67"/>
  <c r="R40" i="67"/>
  <c r="U40" i="67" s="1"/>
  <c r="Q40" i="67"/>
  <c r="T40" i="67" s="1"/>
  <c r="P40" i="67"/>
  <c r="N40" i="67"/>
  <c r="M40" i="67"/>
  <c r="L40" i="67"/>
  <c r="K40" i="67"/>
  <c r="U38" i="67"/>
  <c r="T38" i="67"/>
  <c r="S37" i="67"/>
  <c r="R37" i="67"/>
  <c r="U37" i="67" s="1"/>
  <c r="Q37" i="67"/>
  <c r="T37" i="67" s="1"/>
  <c r="P37" i="67"/>
  <c r="N37" i="67"/>
  <c r="M37" i="67"/>
  <c r="L37" i="67"/>
  <c r="K37" i="67"/>
  <c r="U35" i="67"/>
  <c r="T35" i="67"/>
  <c r="S34" i="67"/>
  <c r="R34" i="67"/>
  <c r="Q34" i="67"/>
  <c r="T34" i="67" s="1"/>
  <c r="P34" i="67"/>
  <c r="N34" i="67"/>
  <c r="M34" i="67"/>
  <c r="L34" i="67"/>
  <c r="K34" i="67"/>
  <c r="U32" i="67"/>
  <c r="T32" i="67"/>
  <c r="U31" i="67"/>
  <c r="T31" i="67"/>
  <c r="S30" i="67"/>
  <c r="R30" i="67"/>
  <c r="U30" i="67" s="1"/>
  <c r="Q30" i="67"/>
  <c r="P30" i="67"/>
  <c r="N30" i="67"/>
  <c r="M30" i="67"/>
  <c r="L30" i="67"/>
  <c r="K30" i="67"/>
  <c r="U28" i="67"/>
  <c r="T28" i="67"/>
  <c r="U27" i="67"/>
  <c r="T27" i="67"/>
  <c r="S26" i="67"/>
  <c r="S100" i="67" s="1"/>
  <c r="U100" i="67" s="1"/>
  <c r="R26" i="67"/>
  <c r="Q26" i="67"/>
  <c r="T26" i="67" s="1"/>
  <c r="P26" i="67"/>
  <c r="N26" i="67"/>
  <c r="M26" i="67"/>
  <c r="L26" i="67"/>
  <c r="K26" i="67"/>
  <c r="U21" i="67"/>
  <c r="T21" i="67"/>
  <c r="U20" i="67"/>
  <c r="T20" i="67"/>
  <c r="S19" i="67"/>
  <c r="R19" i="67"/>
  <c r="U19" i="67" s="1"/>
  <c r="Q19" i="67"/>
  <c r="P19" i="67"/>
  <c r="N19" i="67"/>
  <c r="M19" i="67"/>
  <c r="L19" i="67"/>
  <c r="K19" i="67"/>
  <c r="U17" i="67"/>
  <c r="T17" i="67"/>
  <c r="U16" i="67"/>
  <c r="T16" i="67"/>
  <c r="S15" i="67"/>
  <c r="R15" i="67"/>
  <c r="U15" i="67" s="1"/>
  <c r="Q15" i="67"/>
  <c r="P15" i="67"/>
  <c r="N15" i="67"/>
  <c r="M15" i="67"/>
  <c r="L15" i="67"/>
  <c r="K15" i="67"/>
  <c r="U13" i="67"/>
  <c r="T13" i="67"/>
  <c r="U12" i="67"/>
  <c r="T12" i="67"/>
  <c r="S11" i="67"/>
  <c r="R11" i="67"/>
  <c r="Q11" i="67"/>
  <c r="P11" i="67"/>
  <c r="N11" i="67"/>
  <c r="M11" i="67"/>
  <c r="L11" i="67"/>
  <c r="K11" i="67"/>
  <c r="U26" i="67" l="1"/>
  <c r="T69" i="67"/>
  <c r="O66" i="67"/>
  <c r="O63" i="67"/>
  <c r="O69" i="67"/>
  <c r="T30" i="67"/>
  <c r="U73" i="67"/>
  <c r="O26" i="67"/>
  <c r="U43" i="67"/>
  <c r="T66" i="67"/>
  <c r="O96" i="67"/>
  <c r="O15" i="67"/>
  <c r="O73" i="67"/>
  <c r="T73" i="67"/>
  <c r="T63" i="67"/>
  <c r="O19" i="67"/>
  <c r="O11" i="67"/>
  <c r="U34" i="67"/>
  <c r="U58" i="67"/>
  <c r="O90" i="67"/>
  <c r="O60" i="67"/>
  <c r="T60" i="67"/>
  <c r="O79" i="67"/>
  <c r="U90" i="67"/>
  <c r="O101" i="67"/>
  <c r="G100" i="67"/>
  <c r="D35" i="5" s="1"/>
  <c r="T96" i="67"/>
  <c r="T90" i="67"/>
  <c r="T15" i="67"/>
  <c r="T87" i="67"/>
  <c r="U11" i="67"/>
  <c r="T11" i="67"/>
  <c r="U60" i="67"/>
  <c r="T19" i="67"/>
  <c r="O100" i="67" l="1"/>
  <c r="E35" i="5" s="1"/>
  <c r="C27" i="66" l="1"/>
  <c r="U25" i="66"/>
  <c r="T25" i="66"/>
  <c r="U24" i="66"/>
  <c r="T24" i="66"/>
  <c r="U23" i="66"/>
  <c r="T23" i="66"/>
  <c r="O23" i="66"/>
  <c r="S22" i="66"/>
  <c r="S27" i="66" s="1"/>
  <c r="R22" i="66"/>
  <c r="U22" i="66" s="1"/>
  <c r="Q22" i="66"/>
  <c r="P22" i="66"/>
  <c r="N22" i="66"/>
  <c r="L22" i="66"/>
  <c r="K22" i="66"/>
  <c r="U20" i="66"/>
  <c r="T20" i="66"/>
  <c r="U19" i="66"/>
  <c r="T19" i="66"/>
  <c r="S18" i="66"/>
  <c r="R18" i="66"/>
  <c r="U18" i="66" s="1"/>
  <c r="Q18" i="66"/>
  <c r="T18" i="66" s="1"/>
  <c r="P18" i="66"/>
  <c r="N18" i="66"/>
  <c r="L18" i="66"/>
  <c r="K18" i="66"/>
  <c r="U14" i="66"/>
  <c r="T14" i="66"/>
  <c r="U13" i="66"/>
  <c r="T13" i="66"/>
  <c r="U12" i="66"/>
  <c r="T12" i="66"/>
  <c r="S11" i="66"/>
  <c r="R11" i="66"/>
  <c r="U11" i="66" s="1"/>
  <c r="Q11" i="66"/>
  <c r="O12" i="66" s="1"/>
  <c r="P11" i="66"/>
  <c r="N11" i="66"/>
  <c r="M11" i="66"/>
  <c r="L11" i="66"/>
  <c r="K11" i="66"/>
  <c r="G27" i="66" l="1"/>
  <c r="D34" i="5" s="1"/>
  <c r="O28" i="66"/>
  <c r="O19" i="66"/>
  <c r="O27" i="66" s="1"/>
  <c r="E34" i="5" s="1"/>
  <c r="P27" i="66"/>
  <c r="C34" i="5"/>
  <c r="Q27" i="66"/>
  <c r="R27" i="66"/>
  <c r="U27" i="66" s="1"/>
  <c r="T11" i="66"/>
  <c r="T22" i="66"/>
  <c r="T27" i="66" l="1"/>
  <c r="E33" i="5" l="1"/>
  <c r="D33" i="5"/>
  <c r="C33" i="5"/>
  <c r="C55" i="65"/>
  <c r="U53" i="65"/>
  <c r="T53" i="65"/>
  <c r="S52" i="65"/>
  <c r="R52" i="65"/>
  <c r="U52" i="65" s="1"/>
  <c r="Q52" i="65"/>
  <c r="O52" i="65" s="1"/>
  <c r="P52" i="65"/>
  <c r="N52" i="65"/>
  <c r="L52" i="65"/>
  <c r="U50" i="65"/>
  <c r="T50" i="65"/>
  <c r="N50" i="65"/>
  <c r="U49" i="65"/>
  <c r="T49" i="65"/>
  <c r="N49" i="65"/>
  <c r="N48" i="65" s="1"/>
  <c r="S48" i="65"/>
  <c r="R48" i="65"/>
  <c r="U48" i="65" s="1"/>
  <c r="Q48" i="65"/>
  <c r="P48" i="65"/>
  <c r="L48" i="65"/>
  <c r="K48" i="65"/>
  <c r="U46" i="65"/>
  <c r="T46" i="65"/>
  <c r="U45" i="65"/>
  <c r="T45" i="65"/>
  <c r="U44" i="65"/>
  <c r="T44" i="65"/>
  <c r="N44" i="65"/>
  <c r="N43" i="65" s="1"/>
  <c r="O43" i="65" s="1"/>
  <c r="U43" i="65"/>
  <c r="T43" i="65"/>
  <c r="S43" i="65"/>
  <c r="R43" i="65"/>
  <c r="Q43" i="65"/>
  <c r="P43" i="65"/>
  <c r="L43" i="65"/>
  <c r="U39" i="65"/>
  <c r="T39" i="65"/>
  <c r="U38" i="65"/>
  <c r="T38" i="65"/>
  <c r="S37" i="65"/>
  <c r="R37" i="65"/>
  <c r="U37" i="65" s="1"/>
  <c r="Q37" i="65"/>
  <c r="O37" i="65" s="1"/>
  <c r="P37" i="65"/>
  <c r="N37" i="65"/>
  <c r="M37" i="65"/>
  <c r="L37" i="65"/>
  <c r="K37" i="65"/>
  <c r="U34" i="65"/>
  <c r="T34" i="65"/>
  <c r="U33" i="65"/>
  <c r="T33" i="65"/>
  <c r="S32" i="65"/>
  <c r="R32" i="65"/>
  <c r="Q32" i="65"/>
  <c r="O32" i="65" s="1"/>
  <c r="P32" i="65"/>
  <c r="N32" i="65"/>
  <c r="L32" i="65"/>
  <c r="K32" i="65"/>
  <c r="K31" i="65"/>
  <c r="U28" i="65"/>
  <c r="T28" i="65"/>
  <c r="U27" i="65"/>
  <c r="T27" i="65"/>
  <c r="U26" i="65"/>
  <c r="T26" i="65"/>
  <c r="U25" i="65"/>
  <c r="T25" i="65"/>
  <c r="S24" i="65"/>
  <c r="R24" i="65"/>
  <c r="U24" i="65" s="1"/>
  <c r="Q24" i="65"/>
  <c r="T24" i="65" s="1"/>
  <c r="P24" i="65"/>
  <c r="N24" i="65"/>
  <c r="M24" i="65"/>
  <c r="L24" i="65"/>
  <c r="K24" i="65"/>
  <c r="U19" i="65"/>
  <c r="T19" i="65"/>
  <c r="N19" i="65"/>
  <c r="N18" i="65" s="1"/>
  <c r="O18" i="65" s="1"/>
  <c r="U18" i="65"/>
  <c r="S18" i="65"/>
  <c r="R18" i="65"/>
  <c r="Q18" i="65"/>
  <c r="T18" i="65" s="1"/>
  <c r="P18" i="65"/>
  <c r="M18" i="65"/>
  <c r="L18" i="65"/>
  <c r="K18" i="65"/>
  <c r="U17" i="65"/>
  <c r="T17" i="65"/>
  <c r="U16" i="65"/>
  <c r="T16" i="65"/>
  <c r="N16" i="65"/>
  <c r="N15" i="65" s="1"/>
  <c r="S15" i="65"/>
  <c r="R15" i="65"/>
  <c r="U15" i="65" s="1"/>
  <c r="Q15" i="65"/>
  <c r="T15" i="65" s="1"/>
  <c r="P15" i="65"/>
  <c r="L15" i="65"/>
  <c r="K15" i="65"/>
  <c r="K14" i="65" s="1"/>
  <c r="M14" i="65"/>
  <c r="U13" i="65"/>
  <c r="T13" i="65"/>
  <c r="U12" i="65"/>
  <c r="T12" i="65"/>
  <c r="N12" i="65"/>
  <c r="S11" i="65"/>
  <c r="R11" i="65"/>
  <c r="Q11" i="65"/>
  <c r="Q55" i="65" s="1"/>
  <c r="P11" i="65"/>
  <c r="N11" i="65"/>
  <c r="O11" i="65" s="1"/>
  <c r="L11" i="65"/>
  <c r="K11" i="65"/>
  <c r="P55" i="65" l="1"/>
  <c r="S55" i="65"/>
  <c r="R55" i="65"/>
  <c r="O48" i="65"/>
  <c r="G55" i="65"/>
  <c r="T32" i="65"/>
  <c r="T37" i="65"/>
  <c r="T48" i="65"/>
  <c r="T52" i="65"/>
  <c r="U32" i="65"/>
  <c r="O15" i="65"/>
  <c r="O56" i="65" s="1"/>
  <c r="O24" i="65"/>
  <c r="T11" i="65"/>
  <c r="U11" i="65"/>
  <c r="U55" i="65" l="1"/>
  <c r="T55" i="65"/>
  <c r="O55" i="65"/>
  <c r="E32" i="5" l="1"/>
  <c r="D32" i="5"/>
  <c r="C32" i="5"/>
  <c r="G46" i="64"/>
  <c r="S46" i="64"/>
  <c r="R46" i="64"/>
  <c r="Q46" i="64"/>
  <c r="C46" i="64"/>
  <c r="U44" i="64"/>
  <c r="T44" i="64"/>
  <c r="S43" i="64"/>
  <c r="R43" i="64"/>
  <c r="Q43" i="64"/>
  <c r="T43" i="64" s="1"/>
  <c r="P43" i="64"/>
  <c r="O43" i="64"/>
  <c r="N43" i="64"/>
  <c r="L43" i="64"/>
  <c r="K43" i="64"/>
  <c r="U38" i="64"/>
  <c r="T38" i="64"/>
  <c r="U37" i="64"/>
  <c r="T37" i="64"/>
  <c r="S36" i="64"/>
  <c r="R36" i="64"/>
  <c r="U36" i="64" s="1"/>
  <c r="Q36" i="64"/>
  <c r="T36" i="64" s="1"/>
  <c r="P36" i="64"/>
  <c r="N36" i="64"/>
  <c r="L36" i="64"/>
  <c r="K36" i="64"/>
  <c r="U34" i="64"/>
  <c r="T34" i="64"/>
  <c r="S33" i="64"/>
  <c r="R33" i="64"/>
  <c r="U33" i="64" s="1"/>
  <c r="Q33" i="64"/>
  <c r="P33" i="64"/>
  <c r="O33" i="64"/>
  <c r="N33" i="64"/>
  <c r="L33" i="64"/>
  <c r="K33" i="64"/>
  <c r="U31" i="64"/>
  <c r="T31" i="64"/>
  <c r="S30" i="64"/>
  <c r="R30" i="64"/>
  <c r="Q30" i="64"/>
  <c r="T30" i="64" s="1"/>
  <c r="P30" i="64"/>
  <c r="O30" i="64"/>
  <c r="N30" i="64"/>
  <c r="M30" i="64"/>
  <c r="L30" i="64"/>
  <c r="K30" i="64"/>
  <c r="U28" i="64"/>
  <c r="T28" i="64"/>
  <c r="S27" i="64"/>
  <c r="R27" i="64"/>
  <c r="U27" i="64" s="1"/>
  <c r="Q27" i="64"/>
  <c r="T27" i="64" s="1"/>
  <c r="P27" i="64"/>
  <c r="O27" i="64"/>
  <c r="N27" i="64"/>
  <c r="L27" i="64"/>
  <c r="U26" i="64"/>
  <c r="T26" i="64"/>
  <c r="S25" i="64"/>
  <c r="R25" i="64"/>
  <c r="Q25" i="64"/>
  <c r="P25" i="64"/>
  <c r="O25" i="64"/>
  <c r="N25" i="64"/>
  <c r="L25" i="64"/>
  <c r="U24" i="64"/>
  <c r="T24" i="64"/>
  <c r="S23" i="64"/>
  <c r="R23" i="64"/>
  <c r="U23" i="64" s="1"/>
  <c r="Q23" i="64"/>
  <c r="P23" i="64"/>
  <c r="O23" i="64"/>
  <c r="N23" i="64"/>
  <c r="L23" i="64"/>
  <c r="U21" i="64"/>
  <c r="T21" i="64"/>
  <c r="S20" i="64"/>
  <c r="R20" i="64"/>
  <c r="Q20" i="64"/>
  <c r="T20" i="64" s="1"/>
  <c r="P20" i="64"/>
  <c r="O20" i="64"/>
  <c r="N20" i="64"/>
  <c r="M20" i="64"/>
  <c r="L20" i="64"/>
  <c r="K20" i="64"/>
  <c r="U18" i="64"/>
  <c r="T18" i="64"/>
  <c r="U17" i="64"/>
  <c r="T17" i="64"/>
  <c r="S16" i="64"/>
  <c r="R16" i="64"/>
  <c r="U16" i="64" s="1"/>
  <c r="Q16" i="64"/>
  <c r="T16" i="64" s="1"/>
  <c r="P16" i="64"/>
  <c r="N16" i="64"/>
  <c r="O16" i="64" s="1"/>
  <c r="M16" i="64"/>
  <c r="L16" i="64"/>
  <c r="K16" i="64"/>
  <c r="U12" i="64"/>
  <c r="T12" i="64"/>
  <c r="S11" i="64"/>
  <c r="R11" i="64"/>
  <c r="Q11" i="64"/>
  <c r="P11" i="64"/>
  <c r="O11" i="64"/>
  <c r="N11" i="64"/>
  <c r="M11" i="64"/>
  <c r="L11" i="64"/>
  <c r="K11" i="64"/>
  <c r="P46" i="64" l="1"/>
  <c r="U20" i="64"/>
  <c r="U30" i="64"/>
  <c r="O36" i="64"/>
  <c r="O46" i="64" s="1"/>
  <c r="U43" i="64"/>
  <c r="T25" i="64"/>
  <c r="T46" i="64"/>
  <c r="T23" i="64"/>
  <c r="U46" i="64"/>
  <c r="O47" i="64"/>
  <c r="U25" i="64"/>
  <c r="U11" i="64"/>
  <c r="T11" i="64"/>
  <c r="T33" i="64"/>
  <c r="E31" i="5" l="1"/>
  <c r="D31" i="5"/>
  <c r="C31" i="5"/>
  <c r="U13" i="63"/>
  <c r="T13" i="63"/>
  <c r="U12" i="63"/>
  <c r="T12" i="63"/>
  <c r="C151" i="63"/>
  <c r="U149" i="63"/>
  <c r="T149" i="63"/>
  <c r="U148" i="63"/>
  <c r="T148" i="63"/>
  <c r="S147" i="63"/>
  <c r="R147" i="63"/>
  <c r="U147" i="63" s="1"/>
  <c r="Q147" i="63"/>
  <c r="P147" i="63"/>
  <c r="N147" i="63"/>
  <c r="M147" i="63"/>
  <c r="L147" i="63"/>
  <c r="K147" i="63"/>
  <c r="U144" i="63"/>
  <c r="T144" i="63"/>
  <c r="U143" i="63"/>
  <c r="T143" i="63"/>
  <c r="S142" i="63"/>
  <c r="R142" i="63"/>
  <c r="U142" i="63" s="1"/>
  <c r="Q142" i="63"/>
  <c r="P142" i="63"/>
  <c r="N142" i="63"/>
  <c r="O142" i="63" s="1"/>
  <c r="M142" i="63"/>
  <c r="L142" i="63"/>
  <c r="K142" i="63"/>
  <c r="K141" i="63" s="1"/>
  <c r="U137" i="63"/>
  <c r="T137" i="63"/>
  <c r="S136" i="63"/>
  <c r="R136" i="63"/>
  <c r="U136" i="63" s="1"/>
  <c r="Q136" i="63"/>
  <c r="P136" i="63"/>
  <c r="N136" i="63"/>
  <c r="M136" i="63"/>
  <c r="L136" i="63"/>
  <c r="K136" i="63"/>
  <c r="U135" i="63"/>
  <c r="T135" i="63"/>
  <c r="U134" i="63"/>
  <c r="T134" i="63"/>
  <c r="U133" i="63"/>
  <c r="T133" i="63"/>
  <c r="S132" i="63"/>
  <c r="R132" i="63"/>
  <c r="U132" i="63" s="1"/>
  <c r="Q132" i="63"/>
  <c r="P132" i="63"/>
  <c r="N132" i="63"/>
  <c r="M132" i="63"/>
  <c r="L132" i="63"/>
  <c r="K132" i="63"/>
  <c r="U127" i="63"/>
  <c r="T127" i="63"/>
  <c r="S126" i="63"/>
  <c r="R126" i="63"/>
  <c r="U126" i="63" s="1"/>
  <c r="Q126" i="63"/>
  <c r="T126" i="63" s="1"/>
  <c r="P126" i="63"/>
  <c r="N126" i="63"/>
  <c r="M126" i="63"/>
  <c r="L126" i="63"/>
  <c r="K126" i="63"/>
  <c r="K125" i="63" s="1"/>
  <c r="U124" i="63"/>
  <c r="T124" i="63"/>
  <c r="U123" i="63"/>
  <c r="T123" i="63"/>
  <c r="S122" i="63"/>
  <c r="R122" i="63"/>
  <c r="Q122" i="63"/>
  <c r="P122" i="63"/>
  <c r="N122" i="63"/>
  <c r="M122" i="63"/>
  <c r="L122" i="63"/>
  <c r="K122" i="63"/>
  <c r="K121" i="63"/>
  <c r="U119" i="63"/>
  <c r="T119" i="63"/>
  <c r="U118" i="63"/>
  <c r="T118" i="63"/>
  <c r="S117" i="63"/>
  <c r="R117" i="63"/>
  <c r="Q117" i="63"/>
  <c r="P117" i="63"/>
  <c r="N117" i="63"/>
  <c r="M117" i="63"/>
  <c r="L117" i="63"/>
  <c r="K117" i="63"/>
  <c r="K116" i="63"/>
  <c r="U115" i="63"/>
  <c r="T115" i="63"/>
  <c r="U114" i="63"/>
  <c r="T114" i="63"/>
  <c r="S113" i="63"/>
  <c r="R113" i="63"/>
  <c r="Q113" i="63"/>
  <c r="P113" i="63"/>
  <c r="N113" i="63"/>
  <c r="M113" i="63"/>
  <c r="L113" i="63"/>
  <c r="K113" i="63"/>
  <c r="K112" i="63" s="1"/>
  <c r="U111" i="63"/>
  <c r="T111" i="63"/>
  <c r="U110" i="63"/>
  <c r="T110" i="63"/>
  <c r="S109" i="63"/>
  <c r="R109" i="63"/>
  <c r="Q109" i="63"/>
  <c r="T109" i="63" s="1"/>
  <c r="P109" i="63"/>
  <c r="N109" i="63"/>
  <c r="M109" i="63"/>
  <c r="L109" i="63"/>
  <c r="K109" i="63"/>
  <c r="K108" i="63" s="1"/>
  <c r="U105" i="63"/>
  <c r="T105" i="63"/>
  <c r="S104" i="63"/>
  <c r="R104" i="63"/>
  <c r="U104" i="63" s="1"/>
  <c r="Q104" i="63"/>
  <c r="P104" i="63"/>
  <c r="N104" i="63"/>
  <c r="M104" i="63"/>
  <c r="L104" i="63"/>
  <c r="K104" i="63"/>
  <c r="K103" i="63"/>
  <c r="U102" i="63"/>
  <c r="T102" i="63"/>
  <c r="S101" i="63"/>
  <c r="R101" i="63"/>
  <c r="Q101" i="63"/>
  <c r="P101" i="63"/>
  <c r="N101" i="63"/>
  <c r="M101" i="63"/>
  <c r="L101" i="63"/>
  <c r="K101" i="63"/>
  <c r="K100" i="63"/>
  <c r="U99" i="63"/>
  <c r="T99" i="63"/>
  <c r="S98" i="63"/>
  <c r="R98" i="63"/>
  <c r="U98" i="63" s="1"/>
  <c r="Q98" i="63"/>
  <c r="P98" i="63"/>
  <c r="N98" i="63"/>
  <c r="M98" i="63"/>
  <c r="L98" i="63"/>
  <c r="K98" i="63"/>
  <c r="U97" i="63"/>
  <c r="T97" i="63"/>
  <c r="S96" i="63"/>
  <c r="R96" i="63"/>
  <c r="U96" i="63" s="1"/>
  <c r="Q96" i="63"/>
  <c r="P96" i="63"/>
  <c r="N96" i="63"/>
  <c r="M96" i="63"/>
  <c r="L96" i="63"/>
  <c r="K96" i="63"/>
  <c r="U95" i="63"/>
  <c r="T95" i="63"/>
  <c r="S94" i="63"/>
  <c r="R94" i="63"/>
  <c r="Q94" i="63"/>
  <c r="O94" i="63" s="1"/>
  <c r="P94" i="63"/>
  <c r="N94" i="63"/>
  <c r="M94" i="63"/>
  <c r="L94" i="63"/>
  <c r="K94" i="63"/>
  <c r="U93" i="63"/>
  <c r="T93" i="63"/>
  <c r="S92" i="63"/>
  <c r="R92" i="63"/>
  <c r="U92" i="63" s="1"/>
  <c r="Q92" i="63"/>
  <c r="P92" i="63"/>
  <c r="N92" i="63"/>
  <c r="M92" i="63"/>
  <c r="L92" i="63"/>
  <c r="K92" i="63"/>
  <c r="U91" i="63"/>
  <c r="T91" i="63"/>
  <c r="S90" i="63"/>
  <c r="R90" i="63"/>
  <c r="U90" i="63" s="1"/>
  <c r="Q90" i="63"/>
  <c r="P90" i="63"/>
  <c r="N90" i="63"/>
  <c r="M90" i="63"/>
  <c r="L90" i="63"/>
  <c r="K90" i="63"/>
  <c r="U89" i="63"/>
  <c r="T89" i="63"/>
  <c r="S88" i="63"/>
  <c r="R88" i="63"/>
  <c r="U88" i="63" s="1"/>
  <c r="Q88" i="63"/>
  <c r="P88" i="63"/>
  <c r="N88" i="63"/>
  <c r="M88" i="63"/>
  <c r="L88" i="63"/>
  <c r="K88" i="63"/>
  <c r="U87" i="63"/>
  <c r="T87" i="63"/>
  <c r="S86" i="63"/>
  <c r="R86" i="63"/>
  <c r="U86" i="63" s="1"/>
  <c r="Q86" i="63"/>
  <c r="P86" i="63"/>
  <c r="N86" i="63"/>
  <c r="M86" i="63"/>
  <c r="L86" i="63"/>
  <c r="K86" i="63"/>
  <c r="U85" i="63"/>
  <c r="T85" i="63"/>
  <c r="S84" i="63"/>
  <c r="R84" i="63"/>
  <c r="U84" i="63" s="1"/>
  <c r="Q84" i="63"/>
  <c r="P84" i="63"/>
  <c r="N84" i="63"/>
  <c r="M84" i="63"/>
  <c r="L84" i="63"/>
  <c r="K84" i="63"/>
  <c r="U83" i="63"/>
  <c r="T83" i="63"/>
  <c r="S82" i="63"/>
  <c r="R82" i="63"/>
  <c r="U82" i="63" s="1"/>
  <c r="Q82" i="63"/>
  <c r="T82" i="63" s="1"/>
  <c r="P82" i="63"/>
  <c r="N82" i="63"/>
  <c r="M82" i="63"/>
  <c r="L82" i="63"/>
  <c r="K82" i="63"/>
  <c r="U81" i="63"/>
  <c r="T81" i="63"/>
  <c r="S80" i="63"/>
  <c r="R80" i="63"/>
  <c r="U80" i="63" s="1"/>
  <c r="Q80" i="63"/>
  <c r="P80" i="63"/>
  <c r="N80" i="63"/>
  <c r="M80" i="63"/>
  <c r="L80" i="63"/>
  <c r="K80" i="63"/>
  <c r="U79" i="63"/>
  <c r="T79" i="63"/>
  <c r="S78" i="63"/>
  <c r="R78" i="63"/>
  <c r="U78" i="63" s="1"/>
  <c r="Q78" i="63"/>
  <c r="P78" i="63"/>
  <c r="N78" i="63"/>
  <c r="M78" i="63"/>
  <c r="L78" i="63"/>
  <c r="K78" i="63"/>
  <c r="U77" i="63"/>
  <c r="T77" i="63"/>
  <c r="S76" i="63"/>
  <c r="R76" i="63"/>
  <c r="U76" i="63" s="1"/>
  <c r="Q76" i="63"/>
  <c r="P76" i="63"/>
  <c r="N76" i="63"/>
  <c r="O76" i="63" s="1"/>
  <c r="M76" i="63"/>
  <c r="L76" i="63"/>
  <c r="K76" i="63"/>
  <c r="U75" i="63"/>
  <c r="T75" i="63"/>
  <c r="S74" i="63"/>
  <c r="R74" i="63"/>
  <c r="U74" i="63" s="1"/>
  <c r="Q74" i="63"/>
  <c r="P74" i="63"/>
  <c r="N74" i="63"/>
  <c r="M74" i="63"/>
  <c r="L74" i="63"/>
  <c r="K74" i="63"/>
  <c r="U73" i="63"/>
  <c r="T73" i="63"/>
  <c r="U72" i="63"/>
  <c r="S72" i="63"/>
  <c r="R72" i="63"/>
  <c r="Q72" i="63"/>
  <c r="T72" i="63" s="1"/>
  <c r="P72" i="63"/>
  <c r="N72" i="63"/>
  <c r="M72" i="63"/>
  <c r="L72" i="63"/>
  <c r="K72" i="63"/>
  <c r="U71" i="63"/>
  <c r="T71" i="63"/>
  <c r="S70" i="63"/>
  <c r="R70" i="63"/>
  <c r="U70" i="63" s="1"/>
  <c r="Q70" i="63"/>
  <c r="P70" i="63"/>
  <c r="N70" i="63"/>
  <c r="O70" i="63" s="1"/>
  <c r="M70" i="63"/>
  <c r="L70" i="63"/>
  <c r="K70" i="63"/>
  <c r="U69" i="63"/>
  <c r="T69" i="63"/>
  <c r="S68" i="63"/>
  <c r="R68" i="63"/>
  <c r="U68" i="63" s="1"/>
  <c r="Q68" i="63"/>
  <c r="P68" i="63"/>
  <c r="N68" i="63"/>
  <c r="O68" i="63" s="1"/>
  <c r="M68" i="63"/>
  <c r="L68" i="63"/>
  <c r="K68" i="63"/>
  <c r="U67" i="63"/>
  <c r="T67" i="63"/>
  <c r="S66" i="63"/>
  <c r="R66" i="63"/>
  <c r="U66" i="63" s="1"/>
  <c r="Q66" i="63"/>
  <c r="P66" i="63"/>
  <c r="N66" i="63"/>
  <c r="M66" i="63"/>
  <c r="L66" i="63"/>
  <c r="K66" i="63"/>
  <c r="U65" i="63"/>
  <c r="T65" i="63"/>
  <c r="S64" i="63"/>
  <c r="R64" i="63"/>
  <c r="U64" i="63" s="1"/>
  <c r="Q64" i="63"/>
  <c r="T64" i="63" s="1"/>
  <c r="P64" i="63"/>
  <c r="N64" i="63"/>
  <c r="M64" i="63"/>
  <c r="L64" i="63"/>
  <c r="K64" i="63"/>
  <c r="U63" i="63"/>
  <c r="T63" i="63"/>
  <c r="U62" i="63"/>
  <c r="T62" i="63"/>
  <c r="S61" i="63"/>
  <c r="R61" i="63"/>
  <c r="Q61" i="63"/>
  <c r="P61" i="63"/>
  <c r="N61" i="63"/>
  <c r="M61" i="63"/>
  <c r="L61" i="63"/>
  <c r="K61" i="63"/>
  <c r="U58" i="63"/>
  <c r="T58" i="63"/>
  <c r="U57" i="63"/>
  <c r="T57" i="63"/>
  <c r="U56" i="63"/>
  <c r="T56" i="63"/>
  <c r="S55" i="63"/>
  <c r="R55" i="63"/>
  <c r="U55" i="63" s="1"/>
  <c r="Q55" i="63"/>
  <c r="P55" i="63"/>
  <c r="N55" i="63"/>
  <c r="M55" i="63"/>
  <c r="L55" i="63"/>
  <c r="K55" i="63"/>
  <c r="K54" i="63" s="1"/>
  <c r="U53" i="63"/>
  <c r="T53" i="63"/>
  <c r="U52" i="63"/>
  <c r="T52" i="63"/>
  <c r="U51" i="63"/>
  <c r="T51" i="63"/>
  <c r="S50" i="63"/>
  <c r="R50" i="63"/>
  <c r="U50" i="63" s="1"/>
  <c r="Q50" i="63"/>
  <c r="P50" i="63"/>
  <c r="N50" i="63"/>
  <c r="M50" i="63"/>
  <c r="L50" i="63"/>
  <c r="K50" i="63"/>
  <c r="K49" i="63" s="1"/>
  <c r="U48" i="63"/>
  <c r="T48" i="63"/>
  <c r="U47" i="63"/>
  <c r="T47" i="63"/>
  <c r="S46" i="63"/>
  <c r="R46" i="63"/>
  <c r="U46" i="63" s="1"/>
  <c r="Q46" i="63"/>
  <c r="P46" i="63"/>
  <c r="N46" i="63"/>
  <c r="M46" i="63"/>
  <c r="L46" i="63"/>
  <c r="K46" i="63"/>
  <c r="U45" i="63"/>
  <c r="T45" i="63"/>
  <c r="U44" i="63"/>
  <c r="T44" i="63"/>
  <c r="S43" i="63"/>
  <c r="R43" i="63"/>
  <c r="U43" i="63" s="1"/>
  <c r="Q43" i="63"/>
  <c r="T43" i="63" s="1"/>
  <c r="P43" i="63"/>
  <c r="N43" i="63"/>
  <c r="O43" i="63" s="1"/>
  <c r="M43" i="63"/>
  <c r="L43" i="63"/>
  <c r="K43" i="63"/>
  <c r="K42" i="63" s="1"/>
  <c r="U39" i="63"/>
  <c r="T39" i="63"/>
  <c r="S38" i="63"/>
  <c r="R38" i="63"/>
  <c r="U38" i="63" s="1"/>
  <c r="Q38" i="63"/>
  <c r="P38" i="63"/>
  <c r="N38" i="63"/>
  <c r="M38" i="63"/>
  <c r="L38" i="63"/>
  <c r="K38" i="63"/>
  <c r="K37" i="63"/>
  <c r="U34" i="63"/>
  <c r="T34" i="63"/>
  <c r="U33" i="63"/>
  <c r="T33" i="63"/>
  <c r="S32" i="63"/>
  <c r="R32" i="63"/>
  <c r="Q32" i="63"/>
  <c r="P32" i="63"/>
  <c r="N32" i="63"/>
  <c r="M32" i="63"/>
  <c r="L32" i="63"/>
  <c r="K32" i="63"/>
  <c r="K31" i="63" s="1"/>
  <c r="U29" i="63"/>
  <c r="T29" i="63"/>
  <c r="U28" i="63"/>
  <c r="T28" i="63"/>
  <c r="U27" i="63"/>
  <c r="T27" i="63"/>
  <c r="S26" i="63"/>
  <c r="R26" i="63"/>
  <c r="Q26" i="63"/>
  <c r="P26" i="63"/>
  <c r="N26" i="63"/>
  <c r="M26" i="63"/>
  <c r="L26" i="63"/>
  <c r="K26" i="63"/>
  <c r="K25" i="63" s="1"/>
  <c r="U24" i="63"/>
  <c r="T24" i="63"/>
  <c r="S23" i="63"/>
  <c r="R23" i="63"/>
  <c r="U23" i="63" s="1"/>
  <c r="Q23" i="63"/>
  <c r="P23" i="63"/>
  <c r="N23" i="63"/>
  <c r="M23" i="63"/>
  <c r="L23" i="63"/>
  <c r="K23" i="63"/>
  <c r="U22" i="63"/>
  <c r="T22" i="63"/>
  <c r="U21" i="63"/>
  <c r="T21" i="63"/>
  <c r="S20" i="63"/>
  <c r="R20" i="63"/>
  <c r="Q20" i="63"/>
  <c r="T20" i="63" s="1"/>
  <c r="P20" i="63"/>
  <c r="N20" i="63"/>
  <c r="M20" i="63"/>
  <c r="L20" i="63"/>
  <c r="K20" i="63"/>
  <c r="U18" i="63"/>
  <c r="T18" i="63"/>
  <c r="S17" i="63"/>
  <c r="R17" i="63"/>
  <c r="U17" i="63" s="1"/>
  <c r="Q17" i="63"/>
  <c r="P17" i="63"/>
  <c r="N17" i="63"/>
  <c r="M17" i="63"/>
  <c r="L17" i="63"/>
  <c r="K17" i="63"/>
  <c r="K16" i="63" s="1"/>
  <c r="S11" i="63"/>
  <c r="R11" i="63"/>
  <c r="Q11" i="63"/>
  <c r="P11" i="63"/>
  <c r="N11" i="63"/>
  <c r="M11" i="63"/>
  <c r="L11" i="63"/>
  <c r="K11" i="63"/>
  <c r="K10" i="63" s="1"/>
  <c r="O80" i="63" l="1"/>
  <c r="T86" i="63"/>
  <c r="O74" i="63"/>
  <c r="O38" i="63"/>
  <c r="O117" i="63"/>
  <c r="T88" i="63"/>
  <c r="T142" i="63"/>
  <c r="K19" i="63"/>
  <c r="T11" i="63"/>
  <c r="U11" i="63"/>
  <c r="T68" i="63"/>
  <c r="U20" i="63"/>
  <c r="T38" i="63"/>
  <c r="T55" i="63"/>
  <c r="O109" i="63"/>
  <c r="T80" i="63"/>
  <c r="O84" i="63"/>
  <c r="O32" i="63"/>
  <c r="O132" i="63"/>
  <c r="O17" i="63"/>
  <c r="T32" i="63"/>
  <c r="O23" i="63"/>
  <c r="T70" i="63"/>
  <c r="T76" i="63"/>
  <c r="O86" i="63"/>
  <c r="U109" i="63"/>
  <c r="T147" i="63"/>
  <c r="T74" i="63"/>
  <c r="O104" i="63"/>
  <c r="O78" i="63"/>
  <c r="T117" i="63"/>
  <c r="O136" i="63"/>
  <c r="T61" i="63"/>
  <c r="T17" i="63"/>
  <c r="O26" i="63"/>
  <c r="O113" i="63"/>
  <c r="U117" i="63"/>
  <c r="O88" i="63"/>
  <c r="U101" i="63"/>
  <c r="T113" i="63"/>
  <c r="O82" i="63"/>
  <c r="U113" i="63"/>
  <c r="T132" i="63"/>
  <c r="T122" i="63"/>
  <c r="O46" i="63"/>
  <c r="K131" i="63"/>
  <c r="O98" i="63"/>
  <c r="T136" i="63"/>
  <c r="T94" i="63"/>
  <c r="O50" i="63"/>
  <c r="U61" i="63"/>
  <c r="T98" i="63"/>
  <c r="P151" i="63"/>
  <c r="O96" i="63"/>
  <c r="O66" i="63"/>
  <c r="O11" i="63"/>
  <c r="T66" i="63"/>
  <c r="O72" i="63"/>
  <c r="O90" i="63"/>
  <c r="T46" i="63"/>
  <c r="K60" i="63"/>
  <c r="R151" i="63"/>
  <c r="U32" i="63"/>
  <c r="O64" i="63"/>
  <c r="T84" i="63"/>
  <c r="O122" i="63"/>
  <c r="S151" i="63"/>
  <c r="T96" i="63"/>
  <c r="O126" i="63"/>
  <c r="O147" i="63"/>
  <c r="O20" i="63"/>
  <c r="T23" i="63"/>
  <c r="O101" i="63"/>
  <c r="O92" i="63"/>
  <c r="U26" i="63"/>
  <c r="O55" i="63"/>
  <c r="O61" i="63"/>
  <c r="T78" i="63"/>
  <c r="T92" i="63"/>
  <c r="U122" i="63"/>
  <c r="T101" i="63"/>
  <c r="T26" i="63"/>
  <c r="T90" i="63"/>
  <c r="T104" i="63"/>
  <c r="Q151" i="63"/>
  <c r="U94" i="63"/>
  <c r="T50" i="63"/>
  <c r="S151" i="62"/>
  <c r="R151" i="62"/>
  <c r="U151" i="62" s="1"/>
  <c r="Q151" i="62"/>
  <c r="T151" i="62" s="1"/>
  <c r="P151" i="62"/>
  <c r="E30" i="5"/>
  <c r="D30" i="5"/>
  <c r="C30" i="5"/>
  <c r="P67" i="62"/>
  <c r="C151" i="62"/>
  <c r="U149" i="62"/>
  <c r="T149" i="62"/>
  <c r="U148" i="62"/>
  <c r="T148" i="62"/>
  <c r="U147" i="62"/>
  <c r="T147" i="62"/>
  <c r="U146" i="62"/>
  <c r="T146" i="62"/>
  <c r="S146" i="62"/>
  <c r="R146" i="62"/>
  <c r="Q146" i="62"/>
  <c r="O146" i="62" s="1"/>
  <c r="P146" i="62"/>
  <c r="N146" i="62"/>
  <c r="L146" i="62"/>
  <c r="K146" i="62"/>
  <c r="U144" i="62"/>
  <c r="T144" i="62"/>
  <c r="U143" i="62"/>
  <c r="T143" i="62"/>
  <c r="U142" i="62"/>
  <c r="T142" i="62"/>
  <c r="S142" i="62"/>
  <c r="R142" i="62"/>
  <c r="Q142" i="62"/>
  <c r="O142" i="62" s="1"/>
  <c r="P142" i="62"/>
  <c r="N142" i="62"/>
  <c r="L142" i="62"/>
  <c r="K142" i="62"/>
  <c r="U140" i="62"/>
  <c r="T140" i="62"/>
  <c r="U139" i="62"/>
  <c r="T139" i="62"/>
  <c r="U138" i="62"/>
  <c r="T138" i="62"/>
  <c r="S138" i="62"/>
  <c r="R138" i="62"/>
  <c r="Q138" i="62"/>
  <c r="O138" i="62" s="1"/>
  <c r="P138" i="62"/>
  <c r="N138" i="62"/>
  <c r="L138" i="62"/>
  <c r="K138" i="62"/>
  <c r="U136" i="62"/>
  <c r="T136" i="62"/>
  <c r="U135" i="62"/>
  <c r="T135" i="62"/>
  <c r="U134" i="62"/>
  <c r="T134" i="62"/>
  <c r="S133" i="62"/>
  <c r="R133" i="62"/>
  <c r="U133" i="62" s="1"/>
  <c r="Q133" i="62"/>
  <c r="P133" i="62"/>
  <c r="N133" i="62"/>
  <c r="O133" i="62" s="1"/>
  <c r="L133" i="62"/>
  <c r="K133" i="62"/>
  <c r="U132" i="62"/>
  <c r="T132" i="62"/>
  <c r="U131" i="62"/>
  <c r="T131" i="62"/>
  <c r="U130" i="62"/>
  <c r="S130" i="62"/>
  <c r="R130" i="62"/>
  <c r="Q130" i="62"/>
  <c r="T130" i="62" s="1"/>
  <c r="P130" i="62"/>
  <c r="N130" i="62"/>
  <c r="L130" i="62"/>
  <c r="K130" i="62"/>
  <c r="U128" i="62"/>
  <c r="T128" i="62"/>
  <c r="U127" i="62"/>
  <c r="T127" i="62"/>
  <c r="U126" i="62"/>
  <c r="S126" i="62"/>
  <c r="R126" i="62"/>
  <c r="Q126" i="62"/>
  <c r="T126" i="62" s="1"/>
  <c r="P126" i="62"/>
  <c r="N126" i="62"/>
  <c r="L126" i="62"/>
  <c r="K126" i="62"/>
  <c r="U125" i="62"/>
  <c r="T125" i="62"/>
  <c r="U124" i="62"/>
  <c r="T124" i="62"/>
  <c r="U123" i="62"/>
  <c r="T123" i="62"/>
  <c r="U122" i="62"/>
  <c r="T122" i="62"/>
  <c r="S121" i="62"/>
  <c r="R121" i="62"/>
  <c r="U121" i="62" s="1"/>
  <c r="Q121" i="62"/>
  <c r="T121" i="62" s="1"/>
  <c r="P121" i="62"/>
  <c r="N121" i="62"/>
  <c r="O121" i="62" s="1"/>
  <c r="L121" i="62"/>
  <c r="K121" i="62"/>
  <c r="U119" i="62"/>
  <c r="T119" i="62"/>
  <c r="U118" i="62"/>
  <c r="T118" i="62"/>
  <c r="S117" i="62"/>
  <c r="R117" i="62"/>
  <c r="U117" i="62" s="1"/>
  <c r="Q117" i="62"/>
  <c r="T117" i="62" s="1"/>
  <c r="P117" i="62"/>
  <c r="N117" i="62"/>
  <c r="O117" i="62" s="1"/>
  <c r="L117" i="62"/>
  <c r="K117" i="62"/>
  <c r="U113" i="62"/>
  <c r="T113" i="62"/>
  <c r="U112" i="62"/>
  <c r="T112" i="62"/>
  <c r="S111" i="62"/>
  <c r="R111" i="62"/>
  <c r="U111" i="62" s="1"/>
  <c r="Q111" i="62"/>
  <c r="T111" i="62" s="1"/>
  <c r="P111" i="62"/>
  <c r="N111" i="62"/>
  <c r="O111" i="62" s="1"/>
  <c r="L111" i="62"/>
  <c r="K111" i="62"/>
  <c r="U108" i="62"/>
  <c r="T108" i="62"/>
  <c r="U107" i="62"/>
  <c r="T107" i="62"/>
  <c r="S106" i="62"/>
  <c r="R106" i="62"/>
  <c r="U106" i="62" s="1"/>
  <c r="Q106" i="62"/>
  <c r="T106" i="62" s="1"/>
  <c r="P106" i="62"/>
  <c r="N106" i="62"/>
  <c r="O106" i="62" s="1"/>
  <c r="L106" i="62"/>
  <c r="K106" i="62"/>
  <c r="U101" i="62"/>
  <c r="T101" i="62"/>
  <c r="U100" i="62"/>
  <c r="T100" i="62"/>
  <c r="U99" i="62"/>
  <c r="T99" i="62"/>
  <c r="S98" i="62"/>
  <c r="R98" i="62"/>
  <c r="U98" i="62" s="1"/>
  <c r="Q98" i="62"/>
  <c r="T98" i="62" s="1"/>
  <c r="P98" i="62"/>
  <c r="O98" i="62"/>
  <c r="N98" i="62"/>
  <c r="L98" i="62"/>
  <c r="K98" i="62"/>
  <c r="U96" i="62"/>
  <c r="T96" i="62"/>
  <c r="U95" i="62"/>
  <c r="T95" i="62"/>
  <c r="S94" i="62"/>
  <c r="R94" i="62"/>
  <c r="U94" i="62" s="1"/>
  <c r="Q94" i="62"/>
  <c r="T94" i="62" s="1"/>
  <c r="P94" i="62"/>
  <c r="O94" i="62"/>
  <c r="N94" i="62"/>
  <c r="L94" i="62"/>
  <c r="K94" i="62"/>
  <c r="U92" i="62"/>
  <c r="T92" i="62"/>
  <c r="U91" i="62"/>
  <c r="T91" i="62"/>
  <c r="S90" i="62"/>
  <c r="R90" i="62"/>
  <c r="U90" i="62" s="1"/>
  <c r="Q90" i="62"/>
  <c r="T90" i="62" s="1"/>
  <c r="P90" i="62"/>
  <c r="O90" i="62"/>
  <c r="N90" i="62"/>
  <c r="L90" i="62"/>
  <c r="K90" i="62"/>
  <c r="U87" i="62"/>
  <c r="T87" i="62"/>
  <c r="U86" i="62"/>
  <c r="T86" i="62"/>
  <c r="S85" i="62"/>
  <c r="R85" i="62"/>
  <c r="U85" i="62" s="1"/>
  <c r="Q85" i="62"/>
  <c r="T85" i="62" s="1"/>
  <c r="P85" i="62"/>
  <c r="O85" i="62"/>
  <c r="N85" i="62"/>
  <c r="L85" i="62"/>
  <c r="K85" i="62"/>
  <c r="U83" i="62"/>
  <c r="T83" i="62"/>
  <c r="U82" i="62"/>
  <c r="T82" i="62"/>
  <c r="U81" i="62"/>
  <c r="T81" i="62"/>
  <c r="U80" i="62"/>
  <c r="T80" i="62"/>
  <c r="T79" i="62"/>
  <c r="S79" i="62"/>
  <c r="U79" i="62" s="1"/>
  <c r="R79" i="62"/>
  <c r="Q79" i="62"/>
  <c r="P79" i="62"/>
  <c r="N79" i="62"/>
  <c r="O79" i="62" s="1"/>
  <c r="L79" i="62"/>
  <c r="K79" i="62"/>
  <c r="U77" i="62"/>
  <c r="T77" i="62"/>
  <c r="U76" i="62"/>
  <c r="T76" i="62"/>
  <c r="T75" i="62"/>
  <c r="S75" i="62"/>
  <c r="U75" i="62" s="1"/>
  <c r="R75" i="62"/>
  <c r="Q75" i="62"/>
  <c r="P75" i="62"/>
  <c r="N75" i="62"/>
  <c r="O75" i="62" s="1"/>
  <c r="L75" i="62"/>
  <c r="K75" i="62"/>
  <c r="U73" i="62"/>
  <c r="T73" i="62"/>
  <c r="U72" i="62"/>
  <c r="T72" i="62"/>
  <c r="U71" i="62"/>
  <c r="T71" i="62"/>
  <c r="S71" i="62"/>
  <c r="R71" i="62"/>
  <c r="Q71" i="62"/>
  <c r="P71" i="62"/>
  <c r="N71" i="62"/>
  <c r="O71" i="62" s="1"/>
  <c r="L71" i="62"/>
  <c r="K71" i="62"/>
  <c r="U69" i="62"/>
  <c r="T69" i="62"/>
  <c r="U68" i="62"/>
  <c r="T68" i="62"/>
  <c r="S67" i="62"/>
  <c r="R67" i="62"/>
  <c r="U67" i="62" s="1"/>
  <c r="Q67" i="62"/>
  <c r="T67" i="62" s="1"/>
  <c r="O67" i="62"/>
  <c r="L67" i="62"/>
  <c r="K67" i="62"/>
  <c r="U65" i="62"/>
  <c r="T65" i="62"/>
  <c r="U64" i="62"/>
  <c r="T64" i="62"/>
  <c r="S63" i="62"/>
  <c r="R63" i="62"/>
  <c r="U63" i="62" s="1"/>
  <c r="Q63" i="62"/>
  <c r="T63" i="62" s="1"/>
  <c r="P63" i="62"/>
  <c r="N63" i="62"/>
  <c r="L63" i="62"/>
  <c r="K63" i="62"/>
  <c r="U61" i="62"/>
  <c r="T61" i="62"/>
  <c r="U60" i="62"/>
  <c r="T60" i="62"/>
  <c r="U59" i="62"/>
  <c r="T59" i="62"/>
  <c r="T58" i="62"/>
  <c r="S58" i="62"/>
  <c r="U58" i="62" s="1"/>
  <c r="R58" i="62"/>
  <c r="Q58" i="62"/>
  <c r="P58" i="62"/>
  <c r="N58" i="62"/>
  <c r="O58" i="62" s="1"/>
  <c r="L58" i="62"/>
  <c r="K58" i="62"/>
  <c r="U56" i="62"/>
  <c r="T56" i="62"/>
  <c r="U55" i="62"/>
  <c r="T55" i="62"/>
  <c r="U54" i="62"/>
  <c r="T54" i="62"/>
  <c r="U53" i="62"/>
  <c r="T53" i="62"/>
  <c r="S52" i="62"/>
  <c r="R52" i="62"/>
  <c r="U52" i="62" s="1"/>
  <c r="Q52" i="62"/>
  <c r="O52" i="62" s="1"/>
  <c r="P52" i="62"/>
  <c r="N52" i="62"/>
  <c r="L52" i="62"/>
  <c r="K52" i="62"/>
  <c r="U50" i="62"/>
  <c r="T50" i="62"/>
  <c r="U49" i="62"/>
  <c r="T49" i="62"/>
  <c r="S48" i="62"/>
  <c r="R48" i="62"/>
  <c r="U48" i="62" s="1"/>
  <c r="Q48" i="62"/>
  <c r="O48" i="62" s="1"/>
  <c r="P48" i="62"/>
  <c r="N48" i="62"/>
  <c r="L48" i="62"/>
  <c r="K48" i="62"/>
  <c r="U46" i="62"/>
  <c r="T46" i="62"/>
  <c r="U45" i="62"/>
  <c r="T45" i="62"/>
  <c r="S44" i="62"/>
  <c r="R44" i="62"/>
  <c r="U44" i="62" s="1"/>
  <c r="Q44" i="62"/>
  <c r="O44" i="62" s="1"/>
  <c r="P44" i="62"/>
  <c r="N44" i="62"/>
  <c r="L44" i="62"/>
  <c r="K44" i="62"/>
  <c r="U42" i="62"/>
  <c r="T42" i="62"/>
  <c r="U41" i="62"/>
  <c r="T41" i="62"/>
  <c r="U40" i="62"/>
  <c r="T40" i="62"/>
  <c r="T39" i="62"/>
  <c r="S39" i="62"/>
  <c r="U39" i="62" s="1"/>
  <c r="R39" i="62"/>
  <c r="Q39" i="62"/>
  <c r="P39" i="62"/>
  <c r="O39" i="62"/>
  <c r="N39" i="62"/>
  <c r="L39" i="62"/>
  <c r="K39" i="62"/>
  <c r="U37" i="62"/>
  <c r="T37" i="62"/>
  <c r="U36" i="62"/>
  <c r="T36" i="62"/>
  <c r="U35" i="62"/>
  <c r="T35" i="62"/>
  <c r="U34" i="62"/>
  <c r="T34" i="62"/>
  <c r="U33" i="62"/>
  <c r="T33" i="62"/>
  <c r="U32" i="62"/>
  <c r="T32" i="62"/>
  <c r="P32" i="62"/>
  <c r="N32" i="62"/>
  <c r="O32" i="62" s="1"/>
  <c r="L32" i="62"/>
  <c r="K32" i="62"/>
  <c r="U30" i="62"/>
  <c r="T30" i="62"/>
  <c r="U29" i="62"/>
  <c r="T29" i="62"/>
  <c r="U28" i="62"/>
  <c r="T28" i="62"/>
  <c r="U27" i="62"/>
  <c r="S27" i="62"/>
  <c r="R27" i="62"/>
  <c r="Q27" i="62"/>
  <c r="T27" i="62" s="1"/>
  <c r="P27" i="62"/>
  <c r="N27" i="62"/>
  <c r="O27" i="62" s="1"/>
  <c r="L27" i="62"/>
  <c r="K27" i="62"/>
  <c r="U25" i="62"/>
  <c r="T25" i="62"/>
  <c r="U24" i="62"/>
  <c r="T24" i="62"/>
  <c r="U23" i="62"/>
  <c r="T23" i="62"/>
  <c r="U22" i="62"/>
  <c r="T22" i="62"/>
  <c r="U21" i="62"/>
  <c r="T21" i="62"/>
  <c r="T20" i="62"/>
  <c r="S20" i="62"/>
  <c r="U20" i="62" s="1"/>
  <c r="R20" i="62"/>
  <c r="Q20" i="62"/>
  <c r="P20" i="62"/>
  <c r="N20" i="62"/>
  <c r="O20" i="62" s="1"/>
  <c r="L20" i="62"/>
  <c r="K20" i="62"/>
  <c r="U18" i="62"/>
  <c r="T18" i="62"/>
  <c r="U17" i="62"/>
  <c r="T17" i="62"/>
  <c r="U16" i="62"/>
  <c r="T16" i="62"/>
  <c r="S16" i="62"/>
  <c r="R16" i="62"/>
  <c r="Q16" i="62"/>
  <c r="P16" i="62"/>
  <c r="N16" i="62"/>
  <c r="O16" i="62" s="1"/>
  <c r="L16" i="62"/>
  <c r="K16" i="62"/>
  <c r="U14" i="62"/>
  <c r="T14" i="62"/>
  <c r="U13" i="62"/>
  <c r="T13" i="62"/>
  <c r="U12" i="62"/>
  <c r="T12" i="62"/>
  <c r="U11" i="62"/>
  <c r="S11" i="62"/>
  <c r="R11" i="62"/>
  <c r="Q11" i="62"/>
  <c r="O11" i="62" s="1"/>
  <c r="P11" i="62"/>
  <c r="N11" i="62"/>
  <c r="L11" i="62"/>
  <c r="K11" i="62"/>
  <c r="T151" i="63" l="1"/>
  <c r="U151" i="63"/>
  <c r="G151" i="63"/>
  <c r="O152" i="63"/>
  <c r="O151" i="63"/>
  <c r="O151" i="62"/>
  <c r="G151" i="62"/>
  <c r="O152" i="62"/>
  <c r="T44" i="62"/>
  <c r="T48" i="62"/>
  <c r="T52" i="62"/>
  <c r="O63" i="62"/>
  <c r="T11" i="62"/>
  <c r="O126" i="62"/>
  <c r="O130" i="62"/>
  <c r="T133" i="62"/>
  <c r="E29" i="5" l="1"/>
  <c r="D29" i="5"/>
  <c r="C29" i="5"/>
  <c r="S51" i="58"/>
  <c r="R51" i="58"/>
  <c r="U51" i="58" s="1"/>
  <c r="C51" i="58"/>
  <c r="U49" i="58"/>
  <c r="T49" i="58"/>
  <c r="U48" i="58"/>
  <c r="T48" i="58"/>
  <c r="U47" i="58"/>
  <c r="T47" i="58"/>
  <c r="S46" i="58"/>
  <c r="R46" i="58"/>
  <c r="U46" i="58" s="1"/>
  <c r="Q46" i="58"/>
  <c r="O46" i="58" s="1"/>
  <c r="P46" i="58"/>
  <c r="N46" i="58"/>
  <c r="L46" i="58"/>
  <c r="U44" i="58"/>
  <c r="T44" i="58"/>
  <c r="S43" i="58"/>
  <c r="R43" i="58"/>
  <c r="U43" i="58" s="1"/>
  <c r="Q43" i="58"/>
  <c r="T43" i="58" s="1"/>
  <c r="P43" i="58"/>
  <c r="N43" i="58"/>
  <c r="O43" i="58" s="1"/>
  <c r="L43" i="58"/>
  <c r="K43" i="58"/>
  <c r="U41" i="58"/>
  <c r="T41" i="58"/>
  <c r="S40" i="58"/>
  <c r="R40" i="58"/>
  <c r="U40" i="58" s="1"/>
  <c r="Q40" i="58"/>
  <c r="T40" i="58" s="1"/>
  <c r="P40" i="58"/>
  <c r="N40" i="58"/>
  <c r="O40" i="58" s="1"/>
  <c r="L40" i="58"/>
  <c r="K40" i="58"/>
  <c r="U39" i="58"/>
  <c r="T39" i="58"/>
  <c r="U38" i="58"/>
  <c r="T38" i="58"/>
  <c r="U37" i="58"/>
  <c r="S37" i="58"/>
  <c r="R37" i="58"/>
  <c r="Q37" i="58"/>
  <c r="T37" i="58" s="1"/>
  <c r="P37" i="58"/>
  <c r="N37" i="58"/>
  <c r="O37" i="58" s="1"/>
  <c r="L37" i="58"/>
  <c r="K37" i="58"/>
  <c r="U34" i="58"/>
  <c r="T34" i="58"/>
  <c r="U33" i="58"/>
  <c r="T33" i="58"/>
  <c r="U32" i="58"/>
  <c r="S32" i="58"/>
  <c r="R32" i="58"/>
  <c r="Q32" i="58"/>
  <c r="T32" i="58" s="1"/>
  <c r="P32" i="58"/>
  <c r="N32" i="58"/>
  <c r="O32" i="58" s="1"/>
  <c r="L32" i="58"/>
  <c r="K32" i="58"/>
  <c r="U30" i="58"/>
  <c r="T30" i="58"/>
  <c r="U29" i="58"/>
  <c r="T29" i="58"/>
  <c r="U28" i="58"/>
  <c r="S28" i="58"/>
  <c r="R28" i="58"/>
  <c r="Q28" i="58"/>
  <c r="T28" i="58" s="1"/>
  <c r="P28" i="58"/>
  <c r="N28" i="58"/>
  <c r="O28" i="58" s="1"/>
  <c r="L28" i="58"/>
  <c r="K28" i="58"/>
  <c r="U27" i="58"/>
  <c r="T27" i="58"/>
  <c r="S26" i="58"/>
  <c r="R26" i="58"/>
  <c r="U26" i="58" s="1"/>
  <c r="Q26" i="58"/>
  <c r="T26" i="58" s="1"/>
  <c r="P26" i="58"/>
  <c r="N26" i="58"/>
  <c r="L26" i="58"/>
  <c r="K26" i="58"/>
  <c r="U23" i="58"/>
  <c r="T23" i="58"/>
  <c r="S22" i="58"/>
  <c r="R22" i="58"/>
  <c r="U22" i="58" s="1"/>
  <c r="Q22" i="58"/>
  <c r="T22" i="58" s="1"/>
  <c r="P22" i="58"/>
  <c r="O22" i="58"/>
  <c r="N22" i="58"/>
  <c r="L22" i="58"/>
  <c r="K22" i="58"/>
  <c r="U20" i="58"/>
  <c r="T20" i="58"/>
  <c r="U19" i="58"/>
  <c r="T19" i="58"/>
  <c r="S18" i="58"/>
  <c r="R18" i="58"/>
  <c r="U18" i="58" s="1"/>
  <c r="Q18" i="58"/>
  <c r="T18" i="58" s="1"/>
  <c r="P18" i="58"/>
  <c r="O18" i="58"/>
  <c r="N18" i="58"/>
  <c r="L18" i="58"/>
  <c r="K18" i="58"/>
  <c r="U16" i="58"/>
  <c r="T16" i="58"/>
  <c r="U15" i="58"/>
  <c r="T15" i="58"/>
  <c r="S14" i="58"/>
  <c r="R14" i="58"/>
  <c r="U14" i="58" s="1"/>
  <c r="Q14" i="58"/>
  <c r="T14" i="58" s="1"/>
  <c r="P14" i="58"/>
  <c r="O14" i="58"/>
  <c r="N14" i="58"/>
  <c r="L14" i="58"/>
  <c r="K14" i="58"/>
  <c r="U12" i="58"/>
  <c r="T12" i="58"/>
  <c r="U11" i="58"/>
  <c r="T11" i="58"/>
  <c r="S11" i="58"/>
  <c r="R11" i="58"/>
  <c r="Q11" i="58"/>
  <c r="Q51" i="58" s="1"/>
  <c r="T51" i="58" s="1"/>
  <c r="P11" i="58"/>
  <c r="P51" i="58" s="1"/>
  <c r="N11" i="58"/>
  <c r="O11" i="58" s="1"/>
  <c r="L11" i="58"/>
  <c r="K11" i="58"/>
  <c r="O51" i="58" l="1"/>
  <c r="G51" i="58"/>
  <c r="O52" i="58"/>
  <c r="O26" i="58"/>
  <c r="T46" i="58"/>
  <c r="E28" i="5" l="1"/>
  <c r="D28" i="5"/>
  <c r="C28" i="5"/>
  <c r="C151" i="57"/>
  <c r="U149" i="57"/>
  <c r="T149" i="57"/>
  <c r="N149" i="57"/>
  <c r="N148" i="57" s="1"/>
  <c r="S148" i="57"/>
  <c r="R148" i="57"/>
  <c r="Q148" i="57"/>
  <c r="T148" i="57" s="1"/>
  <c r="P148" i="57"/>
  <c r="M148" i="57"/>
  <c r="L148" i="57"/>
  <c r="U145" i="57"/>
  <c r="T145" i="57"/>
  <c r="N145" i="57"/>
  <c r="U144" i="57"/>
  <c r="T144" i="57"/>
  <c r="N144" i="57"/>
  <c r="U143" i="57"/>
  <c r="T143" i="57"/>
  <c r="N143" i="57"/>
  <c r="N142" i="57" s="1"/>
  <c r="S142" i="57"/>
  <c r="R142" i="57"/>
  <c r="U142" i="57" s="1"/>
  <c r="Q142" i="57"/>
  <c r="T142" i="57" s="1"/>
  <c r="P142" i="57"/>
  <c r="M142" i="57"/>
  <c r="L142" i="57"/>
  <c r="U137" i="57"/>
  <c r="T137" i="57"/>
  <c r="N137" i="57"/>
  <c r="N136" i="57" s="1"/>
  <c r="S136" i="57"/>
  <c r="R136" i="57"/>
  <c r="U136" i="57" s="1"/>
  <c r="Q136" i="57"/>
  <c r="P136" i="57"/>
  <c r="M136" i="57"/>
  <c r="L136" i="57"/>
  <c r="U133" i="57"/>
  <c r="T133" i="57"/>
  <c r="N133" i="57"/>
  <c r="N132" i="57" s="1"/>
  <c r="S132" i="57"/>
  <c r="R132" i="57"/>
  <c r="U132" i="57" s="1"/>
  <c r="Q132" i="57"/>
  <c r="P132" i="57"/>
  <c r="M132" i="57"/>
  <c r="L132" i="57"/>
  <c r="U131" i="57"/>
  <c r="T131" i="57"/>
  <c r="N131" i="57"/>
  <c r="N130" i="57" s="1"/>
  <c r="S130" i="57"/>
  <c r="R130" i="57"/>
  <c r="U130" i="57" s="1"/>
  <c r="Q130" i="57"/>
  <c r="O130" i="57" s="1"/>
  <c r="P130" i="57"/>
  <c r="M130" i="57"/>
  <c r="L130" i="57"/>
  <c r="U129" i="57"/>
  <c r="T129" i="57"/>
  <c r="N129" i="57"/>
  <c r="N128" i="57" s="1"/>
  <c r="S128" i="57"/>
  <c r="R128" i="57"/>
  <c r="U128" i="57" s="1"/>
  <c r="Q128" i="57"/>
  <c r="P128" i="57"/>
  <c r="M128" i="57"/>
  <c r="L128" i="57"/>
  <c r="U127" i="57"/>
  <c r="T127" i="57"/>
  <c r="N127" i="57"/>
  <c r="N126" i="57" s="1"/>
  <c r="S126" i="57"/>
  <c r="R126" i="57"/>
  <c r="U126" i="57" s="1"/>
  <c r="Q126" i="57"/>
  <c r="O126" i="57" s="1"/>
  <c r="P126" i="57"/>
  <c r="M126" i="57"/>
  <c r="L126" i="57"/>
  <c r="U125" i="57"/>
  <c r="T125" i="57"/>
  <c r="N125" i="57"/>
  <c r="N124" i="57" s="1"/>
  <c r="O124" i="57" s="1"/>
  <c r="S124" i="57"/>
  <c r="R124" i="57"/>
  <c r="U124" i="57" s="1"/>
  <c r="Q124" i="57"/>
  <c r="T124" i="57" s="1"/>
  <c r="P124" i="57"/>
  <c r="M124" i="57"/>
  <c r="L124" i="57"/>
  <c r="U123" i="57"/>
  <c r="T123" i="57"/>
  <c r="N123" i="57"/>
  <c r="N122" i="57" s="1"/>
  <c r="S122" i="57"/>
  <c r="R122" i="57"/>
  <c r="U122" i="57" s="1"/>
  <c r="Q122" i="57"/>
  <c r="P122" i="57"/>
  <c r="M122" i="57"/>
  <c r="L122" i="57"/>
  <c r="U121" i="57"/>
  <c r="T121" i="57"/>
  <c r="N121" i="57"/>
  <c r="S120" i="57"/>
  <c r="R120" i="57"/>
  <c r="U120" i="57" s="1"/>
  <c r="Q120" i="57"/>
  <c r="T120" i="57" s="1"/>
  <c r="P120" i="57"/>
  <c r="N120" i="57"/>
  <c r="O120" i="57" s="1"/>
  <c r="M120" i="57"/>
  <c r="L120" i="57"/>
  <c r="U119" i="57"/>
  <c r="T119" i="57"/>
  <c r="N119" i="57"/>
  <c r="N118" i="57" s="1"/>
  <c r="O118" i="57" s="1"/>
  <c r="S118" i="57"/>
  <c r="R118" i="57"/>
  <c r="U118" i="57" s="1"/>
  <c r="Q118" i="57"/>
  <c r="T118" i="57" s="1"/>
  <c r="P118" i="57"/>
  <c r="M118" i="57"/>
  <c r="L118" i="57"/>
  <c r="U117" i="57"/>
  <c r="T117" i="57"/>
  <c r="N117" i="57"/>
  <c r="N116" i="57" s="1"/>
  <c r="S116" i="57"/>
  <c r="R116" i="57"/>
  <c r="U116" i="57" s="1"/>
  <c r="Q116" i="57"/>
  <c r="P116" i="57"/>
  <c r="M116" i="57"/>
  <c r="L116" i="57"/>
  <c r="U115" i="57"/>
  <c r="T115" i="57"/>
  <c r="N115" i="57"/>
  <c r="N114" i="57" s="1"/>
  <c r="O114" i="57" s="1"/>
  <c r="S114" i="57"/>
  <c r="R114" i="57"/>
  <c r="U114" i="57" s="1"/>
  <c r="Q114" i="57"/>
  <c r="P114" i="57"/>
  <c r="M114" i="57"/>
  <c r="L114" i="57"/>
  <c r="U113" i="57"/>
  <c r="T113" i="57"/>
  <c r="N113" i="57"/>
  <c r="S112" i="57"/>
  <c r="R112" i="57"/>
  <c r="U112" i="57" s="1"/>
  <c r="Q112" i="57"/>
  <c r="P112" i="57"/>
  <c r="N112" i="57"/>
  <c r="O112" i="57" s="1"/>
  <c r="M112" i="57"/>
  <c r="L112" i="57"/>
  <c r="U111" i="57"/>
  <c r="T111" i="57"/>
  <c r="N111" i="57"/>
  <c r="U110" i="57"/>
  <c r="T110" i="57"/>
  <c r="N110" i="57"/>
  <c r="S109" i="57"/>
  <c r="R109" i="57"/>
  <c r="Q109" i="57"/>
  <c r="P109" i="57"/>
  <c r="M109" i="57"/>
  <c r="L109" i="57"/>
  <c r="U108" i="57"/>
  <c r="T108" i="57"/>
  <c r="N108" i="57"/>
  <c r="N106" i="57" s="1"/>
  <c r="O106" i="57" s="1"/>
  <c r="U107" i="57"/>
  <c r="T107" i="57"/>
  <c r="N107" i="57"/>
  <c r="S106" i="57"/>
  <c r="R106" i="57"/>
  <c r="Q106" i="57"/>
  <c r="T106" i="57" s="1"/>
  <c r="P106" i="57"/>
  <c r="M106" i="57"/>
  <c r="L106" i="57"/>
  <c r="U105" i="57"/>
  <c r="T105" i="57"/>
  <c r="N105" i="57"/>
  <c r="U104" i="57"/>
  <c r="T104" i="57"/>
  <c r="N104" i="57"/>
  <c r="N103" i="57" s="1"/>
  <c r="S103" i="57"/>
  <c r="R103" i="57"/>
  <c r="U103" i="57" s="1"/>
  <c r="Q103" i="57"/>
  <c r="P103" i="57"/>
  <c r="M103" i="57"/>
  <c r="L103" i="57"/>
  <c r="U102" i="57"/>
  <c r="T102" i="57"/>
  <c r="N102" i="57"/>
  <c r="U101" i="57"/>
  <c r="T101" i="57"/>
  <c r="N101" i="57"/>
  <c r="S100" i="57"/>
  <c r="R100" i="57"/>
  <c r="Q100" i="57"/>
  <c r="T100" i="57" s="1"/>
  <c r="P100" i="57"/>
  <c r="M100" i="57"/>
  <c r="L100" i="57"/>
  <c r="U96" i="57"/>
  <c r="T96" i="57"/>
  <c r="N96" i="57"/>
  <c r="U95" i="57"/>
  <c r="T95" i="57"/>
  <c r="N95" i="57"/>
  <c r="S94" i="57"/>
  <c r="R94" i="57"/>
  <c r="Q94" i="57"/>
  <c r="T94" i="57" s="1"/>
  <c r="P94" i="57"/>
  <c r="M94" i="57"/>
  <c r="L94" i="57"/>
  <c r="U91" i="57"/>
  <c r="T91" i="57"/>
  <c r="N91" i="57"/>
  <c r="N90" i="57" s="1"/>
  <c r="S90" i="57"/>
  <c r="R90" i="57"/>
  <c r="U90" i="57" s="1"/>
  <c r="Q90" i="57"/>
  <c r="P90" i="57"/>
  <c r="M90" i="57"/>
  <c r="L90" i="57"/>
  <c r="U87" i="57"/>
  <c r="T87" i="57"/>
  <c r="N87" i="57"/>
  <c r="U86" i="57"/>
  <c r="T86" i="57"/>
  <c r="N86" i="57"/>
  <c r="U85" i="57"/>
  <c r="T85" i="57"/>
  <c r="N85" i="57"/>
  <c r="S84" i="57"/>
  <c r="R84" i="57"/>
  <c r="U84" i="57" s="1"/>
  <c r="Q84" i="57"/>
  <c r="T84" i="57" s="1"/>
  <c r="P84" i="57"/>
  <c r="M84" i="57"/>
  <c r="L84" i="57"/>
  <c r="U82" i="57"/>
  <c r="T82" i="57"/>
  <c r="N82" i="57"/>
  <c r="S81" i="57"/>
  <c r="R81" i="57"/>
  <c r="U81" i="57" s="1"/>
  <c r="Q81" i="57"/>
  <c r="T81" i="57" s="1"/>
  <c r="P81" i="57"/>
  <c r="N81" i="57"/>
  <c r="O81" i="57" s="1"/>
  <c r="M81" i="57"/>
  <c r="L81" i="57"/>
  <c r="U80" i="57"/>
  <c r="T80" i="57"/>
  <c r="N80" i="57"/>
  <c r="N79" i="57" s="1"/>
  <c r="O79" i="57" s="1"/>
  <c r="S79" i="57"/>
  <c r="R79" i="57"/>
  <c r="U79" i="57" s="1"/>
  <c r="Q79" i="57"/>
  <c r="P79" i="57"/>
  <c r="M79" i="57"/>
  <c r="L79" i="57"/>
  <c r="U78" i="57"/>
  <c r="T78" i="57"/>
  <c r="N78" i="57"/>
  <c r="N77" i="57" s="1"/>
  <c r="S77" i="57"/>
  <c r="R77" i="57"/>
  <c r="U77" i="57" s="1"/>
  <c r="Q77" i="57"/>
  <c r="T77" i="57" s="1"/>
  <c r="P77" i="57"/>
  <c r="M77" i="57"/>
  <c r="L77" i="57"/>
  <c r="U76" i="57"/>
  <c r="T76" i="57"/>
  <c r="N76" i="57"/>
  <c r="N75" i="57" s="1"/>
  <c r="S75" i="57"/>
  <c r="R75" i="57"/>
  <c r="U75" i="57" s="1"/>
  <c r="Q75" i="57"/>
  <c r="T75" i="57" s="1"/>
  <c r="P75" i="57"/>
  <c r="M75" i="57"/>
  <c r="L75" i="57"/>
  <c r="U74" i="57"/>
  <c r="T74" i="57"/>
  <c r="N74" i="57"/>
  <c r="N73" i="57" s="1"/>
  <c r="S73" i="57"/>
  <c r="R73" i="57"/>
  <c r="U73" i="57" s="1"/>
  <c r="Q73" i="57"/>
  <c r="P73" i="57"/>
  <c r="M73" i="57"/>
  <c r="L73" i="57"/>
  <c r="U72" i="57"/>
  <c r="T72" i="57"/>
  <c r="N72" i="57"/>
  <c r="N71" i="57" s="1"/>
  <c r="S71" i="57"/>
  <c r="R71" i="57"/>
  <c r="U71" i="57" s="1"/>
  <c r="Q71" i="57"/>
  <c r="T71" i="57" s="1"/>
  <c r="P71" i="57"/>
  <c r="M71" i="57"/>
  <c r="L71" i="57"/>
  <c r="U70" i="57"/>
  <c r="T70" i="57"/>
  <c r="N70" i="57"/>
  <c r="N69" i="57" s="1"/>
  <c r="O69" i="57" s="1"/>
  <c r="U69" i="57"/>
  <c r="T69" i="57"/>
  <c r="S69" i="57"/>
  <c r="R69" i="57"/>
  <c r="Q69" i="57"/>
  <c r="P69" i="57"/>
  <c r="M69" i="57"/>
  <c r="L69" i="57"/>
  <c r="U68" i="57"/>
  <c r="T68" i="57"/>
  <c r="N68" i="57"/>
  <c r="N67" i="57" s="1"/>
  <c r="S67" i="57"/>
  <c r="R67" i="57"/>
  <c r="U67" i="57" s="1"/>
  <c r="Q67" i="57"/>
  <c r="T67" i="57" s="1"/>
  <c r="P67" i="57"/>
  <c r="M67" i="57"/>
  <c r="L67" i="57"/>
  <c r="U66" i="57"/>
  <c r="T66" i="57"/>
  <c r="N66" i="57"/>
  <c r="N65" i="57" s="1"/>
  <c r="S65" i="57"/>
  <c r="R65" i="57"/>
  <c r="U65" i="57" s="1"/>
  <c r="Q65" i="57"/>
  <c r="O65" i="57" s="1"/>
  <c r="P65" i="57"/>
  <c r="M65" i="57"/>
  <c r="L65" i="57"/>
  <c r="U64" i="57"/>
  <c r="T64" i="57"/>
  <c r="N64" i="57"/>
  <c r="N63" i="57" s="1"/>
  <c r="S63" i="57"/>
  <c r="R63" i="57"/>
  <c r="U63" i="57" s="1"/>
  <c r="Q63" i="57"/>
  <c r="P63" i="57"/>
  <c r="M63" i="57"/>
  <c r="L63" i="57"/>
  <c r="U62" i="57"/>
  <c r="T62" i="57"/>
  <c r="N62" i="57"/>
  <c r="N61" i="57" s="1"/>
  <c r="S61" i="57"/>
  <c r="R61" i="57"/>
  <c r="U61" i="57" s="1"/>
  <c r="Q61" i="57"/>
  <c r="T61" i="57" s="1"/>
  <c r="P61" i="57"/>
  <c r="O61" i="57"/>
  <c r="M61" i="57"/>
  <c r="L61" i="57"/>
  <c r="U60" i="57"/>
  <c r="T60" i="57"/>
  <c r="N60" i="57"/>
  <c r="N59" i="57" s="1"/>
  <c r="O59" i="57" s="1"/>
  <c r="S59" i="57"/>
  <c r="R59" i="57"/>
  <c r="U59" i="57" s="1"/>
  <c r="Q59" i="57"/>
  <c r="P59" i="57"/>
  <c r="M59" i="57"/>
  <c r="L59" i="57"/>
  <c r="U58" i="57"/>
  <c r="T58" i="57"/>
  <c r="N58" i="57"/>
  <c r="N57" i="57" s="1"/>
  <c r="S57" i="57"/>
  <c r="R57" i="57"/>
  <c r="U57" i="57" s="1"/>
  <c r="Q57" i="57"/>
  <c r="T57" i="57" s="1"/>
  <c r="P57" i="57"/>
  <c r="M57" i="57"/>
  <c r="L57" i="57"/>
  <c r="U56" i="57"/>
  <c r="T56" i="57"/>
  <c r="N56" i="57"/>
  <c r="S55" i="57"/>
  <c r="R55" i="57"/>
  <c r="U55" i="57" s="1"/>
  <c r="Q55" i="57"/>
  <c r="P55" i="57"/>
  <c r="N55" i="57"/>
  <c r="O55" i="57" s="1"/>
  <c r="M55" i="57"/>
  <c r="L55" i="57"/>
  <c r="U54" i="57"/>
  <c r="T54" i="57"/>
  <c r="N54" i="57"/>
  <c r="N53" i="57" s="1"/>
  <c r="S53" i="57"/>
  <c r="R53" i="57"/>
  <c r="U53" i="57" s="1"/>
  <c r="Q53" i="57"/>
  <c r="P53" i="57"/>
  <c r="M53" i="57"/>
  <c r="L53" i="57"/>
  <c r="U52" i="57"/>
  <c r="T52" i="57"/>
  <c r="N52" i="57"/>
  <c r="U51" i="57"/>
  <c r="T51" i="57"/>
  <c r="N51" i="57"/>
  <c r="U50" i="57"/>
  <c r="T50" i="57"/>
  <c r="N50" i="57"/>
  <c r="N49" i="57" s="1"/>
  <c r="S49" i="57"/>
  <c r="R49" i="57"/>
  <c r="Q49" i="57"/>
  <c r="P49" i="57"/>
  <c r="M49" i="57"/>
  <c r="L49" i="57"/>
  <c r="U47" i="57"/>
  <c r="T47" i="57"/>
  <c r="N47" i="57"/>
  <c r="N46" i="57" s="1"/>
  <c r="S46" i="57"/>
  <c r="R46" i="57"/>
  <c r="U46" i="57" s="1"/>
  <c r="Q46" i="57"/>
  <c r="P46" i="57"/>
  <c r="M46" i="57"/>
  <c r="L46" i="57"/>
  <c r="U43" i="57"/>
  <c r="T43" i="57"/>
  <c r="N43" i="57"/>
  <c r="N42" i="57" s="1"/>
  <c r="S42" i="57"/>
  <c r="R42" i="57"/>
  <c r="U42" i="57" s="1"/>
  <c r="Q42" i="57"/>
  <c r="P42" i="57"/>
  <c r="M42" i="57"/>
  <c r="L42" i="57"/>
  <c r="U37" i="57"/>
  <c r="T37" i="57"/>
  <c r="N37" i="57"/>
  <c r="U36" i="57"/>
  <c r="T36" i="57"/>
  <c r="N36" i="57"/>
  <c r="U35" i="57"/>
  <c r="T35" i="57"/>
  <c r="N35" i="57"/>
  <c r="S34" i="57"/>
  <c r="R34" i="57"/>
  <c r="U34" i="57" s="1"/>
  <c r="Q34" i="57"/>
  <c r="T34" i="57" s="1"/>
  <c r="P34" i="57"/>
  <c r="M34" i="57"/>
  <c r="L34" i="57"/>
  <c r="U32" i="57"/>
  <c r="T32" i="57"/>
  <c r="N32" i="57"/>
  <c r="N31" i="57" s="1"/>
  <c r="S31" i="57"/>
  <c r="R31" i="57"/>
  <c r="U31" i="57" s="1"/>
  <c r="Q31" i="57"/>
  <c r="T31" i="57" s="1"/>
  <c r="P31" i="57"/>
  <c r="M31" i="57"/>
  <c r="L31" i="57"/>
  <c r="U30" i="57"/>
  <c r="T30" i="57"/>
  <c r="N30" i="57"/>
  <c r="N29" i="57" s="1"/>
  <c r="O29" i="57" s="1"/>
  <c r="S29" i="57"/>
  <c r="R29" i="57"/>
  <c r="U29" i="57" s="1"/>
  <c r="Q29" i="57"/>
  <c r="P29" i="57"/>
  <c r="M29" i="57"/>
  <c r="L29" i="57"/>
  <c r="U28" i="57"/>
  <c r="T28" i="57"/>
  <c r="N28" i="57"/>
  <c r="N27" i="57" s="1"/>
  <c r="S27" i="57"/>
  <c r="R27" i="57"/>
  <c r="U27" i="57" s="1"/>
  <c r="Q27" i="57"/>
  <c r="T27" i="57" s="1"/>
  <c r="P27" i="57"/>
  <c r="M27" i="57"/>
  <c r="L27" i="57"/>
  <c r="U26" i="57"/>
  <c r="T26" i="57"/>
  <c r="N26" i="57"/>
  <c r="N25" i="57" s="1"/>
  <c r="S25" i="57"/>
  <c r="R25" i="57"/>
  <c r="U25" i="57" s="1"/>
  <c r="Q25" i="57"/>
  <c r="T25" i="57" s="1"/>
  <c r="P25" i="57"/>
  <c r="M25" i="57"/>
  <c r="L25" i="57"/>
  <c r="U24" i="57"/>
  <c r="T24" i="57"/>
  <c r="N24" i="57"/>
  <c r="N23" i="57" s="1"/>
  <c r="S23" i="57"/>
  <c r="R23" i="57"/>
  <c r="U23" i="57" s="1"/>
  <c r="Q23" i="57"/>
  <c r="T23" i="57" s="1"/>
  <c r="P23" i="57"/>
  <c r="M23" i="57"/>
  <c r="L23" i="57"/>
  <c r="U22" i="57"/>
  <c r="T22" i="57"/>
  <c r="N22" i="57"/>
  <c r="N21" i="57" s="1"/>
  <c r="S21" i="57"/>
  <c r="R21" i="57"/>
  <c r="U21" i="57" s="1"/>
  <c r="Q21" i="57"/>
  <c r="P21" i="57"/>
  <c r="M21" i="57"/>
  <c r="L21" i="57"/>
  <c r="U20" i="57"/>
  <c r="T20" i="57"/>
  <c r="N20" i="57"/>
  <c r="N19" i="57" s="1"/>
  <c r="S19" i="57"/>
  <c r="R19" i="57"/>
  <c r="U19" i="57" s="1"/>
  <c r="Q19" i="57"/>
  <c r="O19" i="57" s="1"/>
  <c r="P19" i="57"/>
  <c r="M19" i="57"/>
  <c r="L19" i="57"/>
  <c r="U18" i="57"/>
  <c r="T18" i="57"/>
  <c r="N18" i="57"/>
  <c r="N17" i="57" s="1"/>
  <c r="S17" i="57"/>
  <c r="R17" i="57"/>
  <c r="U17" i="57" s="1"/>
  <c r="Q17" i="57"/>
  <c r="P17" i="57"/>
  <c r="M17" i="57"/>
  <c r="L17" i="57"/>
  <c r="U16" i="57"/>
  <c r="T16" i="57"/>
  <c r="N16" i="57"/>
  <c r="N15" i="57" s="1"/>
  <c r="S15" i="57"/>
  <c r="R15" i="57"/>
  <c r="U15" i="57" s="1"/>
  <c r="Q15" i="57"/>
  <c r="P15" i="57"/>
  <c r="M15" i="57"/>
  <c r="L15" i="57"/>
  <c r="U14" i="57"/>
  <c r="T14" i="57"/>
  <c r="N14" i="57"/>
  <c r="S13" i="57"/>
  <c r="R13" i="57"/>
  <c r="U13" i="57" s="1"/>
  <c r="Q13" i="57"/>
  <c r="P13" i="57"/>
  <c r="N13" i="57"/>
  <c r="M13" i="57"/>
  <c r="L13" i="57"/>
  <c r="U12" i="57"/>
  <c r="T12" i="57"/>
  <c r="N12" i="57"/>
  <c r="N11" i="57" s="1"/>
  <c r="O11" i="57" s="1"/>
  <c r="S11" i="57"/>
  <c r="R11" i="57"/>
  <c r="Q11" i="57"/>
  <c r="P11" i="57"/>
  <c r="M11" i="57"/>
  <c r="L11" i="57"/>
  <c r="T49" i="57" l="1"/>
  <c r="O53" i="57"/>
  <c r="T55" i="57"/>
  <c r="O75" i="57"/>
  <c r="U106" i="57"/>
  <c r="T136" i="57"/>
  <c r="O132" i="57"/>
  <c r="O116" i="57"/>
  <c r="T90" i="57"/>
  <c r="O103" i="57"/>
  <c r="T114" i="57"/>
  <c r="O122" i="57"/>
  <c r="O23" i="57"/>
  <c r="T15" i="57"/>
  <c r="O49" i="57"/>
  <c r="T29" i="57"/>
  <c r="T73" i="57"/>
  <c r="O21" i="57"/>
  <c r="O15" i="57"/>
  <c r="N84" i="57"/>
  <c r="O84" i="57" s="1"/>
  <c r="O25" i="57"/>
  <c r="U100" i="57"/>
  <c r="N109" i="57"/>
  <c r="O109" i="57" s="1"/>
  <c r="U148" i="57"/>
  <c r="O73" i="57"/>
  <c r="O46" i="57"/>
  <c r="O77" i="57"/>
  <c r="O13" i="57"/>
  <c r="O42" i="57"/>
  <c r="T112" i="57"/>
  <c r="O136" i="57"/>
  <c r="O31" i="57"/>
  <c r="O67" i="57"/>
  <c r="O71" i="57"/>
  <c r="N100" i="57"/>
  <c r="O100" i="57" s="1"/>
  <c r="O27" i="57"/>
  <c r="T53" i="57"/>
  <c r="U94" i="57"/>
  <c r="O90" i="57"/>
  <c r="T59" i="57"/>
  <c r="T109" i="57"/>
  <c r="T122" i="57"/>
  <c r="O142" i="57"/>
  <c r="O17" i="57"/>
  <c r="O63" i="57"/>
  <c r="T79" i="57"/>
  <c r="U109" i="57"/>
  <c r="T116" i="57"/>
  <c r="T13" i="57"/>
  <c r="T21" i="57"/>
  <c r="T126" i="57"/>
  <c r="T46" i="57"/>
  <c r="P151" i="57"/>
  <c r="P153" i="57" s="1"/>
  <c r="T65" i="57"/>
  <c r="T11" i="57"/>
  <c r="Q151" i="57"/>
  <c r="U11" i="57"/>
  <c r="R151" i="57"/>
  <c r="U49" i="57"/>
  <c r="N34" i="57"/>
  <c r="O34" i="57" s="1"/>
  <c r="G151" i="57" s="1"/>
  <c r="T42" i="57"/>
  <c r="O128" i="57"/>
  <c r="O57" i="57"/>
  <c r="O152" i="57" s="1"/>
  <c r="O148" i="57"/>
  <c r="S151" i="57"/>
  <c r="S153" i="57" s="1"/>
  <c r="T19" i="57"/>
  <c r="T63" i="57"/>
  <c r="T132" i="57"/>
  <c r="T103" i="57"/>
  <c r="T17" i="57"/>
  <c r="T130" i="57"/>
  <c r="N94" i="57"/>
  <c r="O94" i="57" s="1"/>
  <c r="T128" i="57"/>
  <c r="O151" i="57" l="1"/>
  <c r="R153" i="57"/>
  <c r="U151" i="57"/>
  <c r="T151" i="57"/>
  <c r="Q153" i="57"/>
  <c r="C27" i="5" l="1"/>
  <c r="P151" i="56"/>
  <c r="C151" i="56"/>
  <c r="Q149" i="56"/>
  <c r="S148" i="56"/>
  <c r="S147" i="56" s="1"/>
  <c r="R148" i="56"/>
  <c r="R147" i="56" s="1"/>
  <c r="Q148" i="56"/>
  <c r="N148" i="56"/>
  <c r="P147" i="56"/>
  <c r="N147" i="56"/>
  <c r="M147" i="56"/>
  <c r="L147" i="56"/>
  <c r="K147" i="56"/>
  <c r="S145" i="56"/>
  <c r="R145" i="56"/>
  <c r="Q145" i="56"/>
  <c r="S144" i="56"/>
  <c r="R144" i="56"/>
  <c r="Q144" i="56"/>
  <c r="P143" i="56"/>
  <c r="N143" i="56"/>
  <c r="M143" i="56"/>
  <c r="L143" i="56"/>
  <c r="K143" i="56"/>
  <c r="S140" i="56"/>
  <c r="R140" i="56"/>
  <c r="Q140" i="56"/>
  <c r="S139" i="56"/>
  <c r="R139" i="56"/>
  <c r="Q139" i="56"/>
  <c r="P138" i="56"/>
  <c r="N138" i="56"/>
  <c r="M138" i="56"/>
  <c r="L138" i="56"/>
  <c r="K138" i="56"/>
  <c r="S135" i="56"/>
  <c r="R135" i="56"/>
  <c r="Q135" i="56"/>
  <c r="S134" i="56"/>
  <c r="R134" i="56"/>
  <c r="Q134" i="56"/>
  <c r="P133" i="56"/>
  <c r="N133" i="56"/>
  <c r="M133" i="56"/>
  <c r="L133" i="56"/>
  <c r="K133" i="56"/>
  <c r="Q128" i="56"/>
  <c r="Q127" i="56" s="1"/>
  <c r="P127" i="56"/>
  <c r="N127" i="56"/>
  <c r="M127" i="56"/>
  <c r="L127" i="56"/>
  <c r="K127" i="56"/>
  <c r="S123" i="56"/>
  <c r="R123" i="56"/>
  <c r="R122" i="56" s="1"/>
  <c r="Q123" i="56"/>
  <c r="P122" i="56"/>
  <c r="N122" i="56"/>
  <c r="M122" i="56"/>
  <c r="L122" i="56"/>
  <c r="K122" i="56"/>
  <c r="S117" i="56"/>
  <c r="S116" i="56" s="1"/>
  <c r="R117" i="56"/>
  <c r="Q117" i="56"/>
  <c r="Q116" i="56" s="1"/>
  <c r="P116" i="56"/>
  <c r="N116" i="56"/>
  <c r="M116" i="56"/>
  <c r="L116" i="56"/>
  <c r="K116" i="56"/>
  <c r="S114" i="56"/>
  <c r="Q114" i="56"/>
  <c r="S113" i="56"/>
  <c r="Q113" i="56"/>
  <c r="R112" i="56"/>
  <c r="P112" i="56"/>
  <c r="N112" i="56"/>
  <c r="M112" i="56"/>
  <c r="L112" i="56"/>
  <c r="K112" i="56"/>
  <c r="S111" i="56"/>
  <c r="R111" i="56"/>
  <c r="Q111" i="56"/>
  <c r="S110" i="56"/>
  <c r="R110" i="56"/>
  <c r="Q110" i="56"/>
  <c r="P109" i="56"/>
  <c r="N109" i="56"/>
  <c r="M109" i="56"/>
  <c r="L109" i="56"/>
  <c r="K109" i="56"/>
  <c r="S105" i="56"/>
  <c r="R105" i="56"/>
  <c r="Q105" i="56"/>
  <c r="S104" i="56"/>
  <c r="S103" i="56" s="1"/>
  <c r="R104" i="56"/>
  <c r="Q104" i="56"/>
  <c r="Q103" i="56" s="1"/>
  <c r="O103" i="56" s="1"/>
  <c r="P103" i="56"/>
  <c r="N103" i="56"/>
  <c r="M103" i="56"/>
  <c r="L103" i="56"/>
  <c r="K103" i="56"/>
  <c r="S100" i="56"/>
  <c r="S99" i="56" s="1"/>
  <c r="R100" i="56"/>
  <c r="Q100" i="56"/>
  <c r="Q99" i="56" s="1"/>
  <c r="R99" i="56"/>
  <c r="P99" i="56"/>
  <c r="N99" i="56"/>
  <c r="M99" i="56"/>
  <c r="L99" i="56"/>
  <c r="K99" i="56"/>
  <c r="R98" i="56"/>
  <c r="Q98" i="56"/>
  <c r="R97" i="56"/>
  <c r="Q97" i="56"/>
  <c r="S96" i="56"/>
  <c r="P96" i="56"/>
  <c r="N96" i="56"/>
  <c r="M96" i="56"/>
  <c r="L96" i="56"/>
  <c r="K96" i="56"/>
  <c r="S95" i="56"/>
  <c r="S94" i="56" s="1"/>
  <c r="R95" i="56"/>
  <c r="R94" i="56" s="1"/>
  <c r="Q95" i="56"/>
  <c r="Q94" i="56" s="1"/>
  <c r="O94" i="56" s="1"/>
  <c r="P94" i="56"/>
  <c r="N94" i="56"/>
  <c r="M94" i="56"/>
  <c r="L94" i="56"/>
  <c r="K94" i="56"/>
  <c r="S93" i="56"/>
  <c r="R93" i="56"/>
  <c r="Q93" i="56"/>
  <c r="S92" i="56"/>
  <c r="R92" i="56"/>
  <c r="R91" i="56" s="1"/>
  <c r="Q92" i="56"/>
  <c r="P91" i="56"/>
  <c r="N91" i="56"/>
  <c r="M91" i="56"/>
  <c r="L91" i="56"/>
  <c r="K91" i="56"/>
  <c r="S87" i="56"/>
  <c r="R87" i="56"/>
  <c r="R86" i="56" s="1"/>
  <c r="Q87" i="56"/>
  <c r="Q86" i="56"/>
  <c r="O86" i="56" s="1"/>
  <c r="P86" i="56"/>
  <c r="N86" i="56"/>
  <c r="M86" i="56"/>
  <c r="L86" i="56"/>
  <c r="K86" i="56"/>
  <c r="S83" i="56"/>
  <c r="S82" i="56" s="1"/>
  <c r="R83" i="56"/>
  <c r="Q83" i="56"/>
  <c r="R82" i="56"/>
  <c r="P82" i="56"/>
  <c r="N82" i="56"/>
  <c r="M82" i="56"/>
  <c r="L82" i="56"/>
  <c r="K82" i="56"/>
  <c r="S80" i="56"/>
  <c r="S79" i="56" s="1"/>
  <c r="R80" i="56"/>
  <c r="R79" i="56" s="1"/>
  <c r="Q80" i="56"/>
  <c r="Q79" i="56" s="1"/>
  <c r="P79" i="56"/>
  <c r="N79" i="56"/>
  <c r="M79" i="56"/>
  <c r="L79" i="56"/>
  <c r="K79" i="56"/>
  <c r="S77" i="56"/>
  <c r="S76" i="56" s="1"/>
  <c r="R77" i="56"/>
  <c r="R76" i="56" s="1"/>
  <c r="Q77" i="56"/>
  <c r="Q76" i="56" s="1"/>
  <c r="O76" i="56" s="1"/>
  <c r="P76" i="56"/>
  <c r="N76" i="56"/>
  <c r="M76" i="56"/>
  <c r="L76" i="56"/>
  <c r="K76" i="56"/>
  <c r="S74" i="56"/>
  <c r="S73" i="56" s="1"/>
  <c r="R74" i="56"/>
  <c r="R73" i="56" s="1"/>
  <c r="Q74" i="56"/>
  <c r="Q73" i="56" s="1"/>
  <c r="O73" i="56" s="1"/>
  <c r="P73" i="56"/>
  <c r="N73" i="56"/>
  <c r="M73" i="56"/>
  <c r="L73" i="56"/>
  <c r="K73" i="56"/>
  <c r="S70" i="56"/>
  <c r="R70" i="56"/>
  <c r="Q70" i="56"/>
  <c r="S69" i="56"/>
  <c r="R69" i="56"/>
  <c r="Q69" i="56"/>
  <c r="Q68" i="56" s="1"/>
  <c r="P68" i="56"/>
  <c r="N68" i="56"/>
  <c r="M68" i="56"/>
  <c r="L68" i="56"/>
  <c r="K68" i="56"/>
  <c r="S66" i="56"/>
  <c r="S65" i="56" s="1"/>
  <c r="R66" i="56"/>
  <c r="R65" i="56" s="1"/>
  <c r="Q66" i="56"/>
  <c r="P65" i="56"/>
  <c r="N65" i="56"/>
  <c r="M65" i="56"/>
  <c r="L65" i="56"/>
  <c r="K65" i="56"/>
  <c r="S64" i="56"/>
  <c r="R64" i="56"/>
  <c r="Q64" i="56"/>
  <c r="S63" i="56"/>
  <c r="R63" i="56"/>
  <c r="Q63" i="56"/>
  <c r="P62" i="56"/>
  <c r="N62" i="56"/>
  <c r="M62" i="56"/>
  <c r="L62" i="56"/>
  <c r="K62" i="56"/>
  <c r="S61" i="56"/>
  <c r="S60" i="56" s="1"/>
  <c r="R61" i="56"/>
  <c r="R60" i="56" s="1"/>
  <c r="Q61" i="56"/>
  <c r="P60" i="56"/>
  <c r="N60" i="56"/>
  <c r="M60" i="56"/>
  <c r="L60" i="56"/>
  <c r="K60" i="56"/>
  <c r="S58" i="56"/>
  <c r="R58" i="56"/>
  <c r="R57" i="56" s="1"/>
  <c r="Q58" i="56"/>
  <c r="N58" i="56"/>
  <c r="N57" i="56" s="1"/>
  <c r="P57" i="56"/>
  <c r="M57" i="56"/>
  <c r="L57" i="56"/>
  <c r="K57" i="56"/>
  <c r="S55" i="56"/>
  <c r="S54" i="56" s="1"/>
  <c r="R55" i="56"/>
  <c r="Q55" i="56"/>
  <c r="Q54" i="56" s="1"/>
  <c r="O54" i="56" s="1"/>
  <c r="P54" i="56"/>
  <c r="N54" i="56"/>
  <c r="M54" i="56"/>
  <c r="L54" i="56"/>
  <c r="K54" i="56"/>
  <c r="S53" i="56"/>
  <c r="S52" i="56" s="1"/>
  <c r="R53" i="56"/>
  <c r="Q53" i="56"/>
  <c r="Q52" i="56" s="1"/>
  <c r="P52" i="56"/>
  <c r="N52" i="56"/>
  <c r="M52" i="56"/>
  <c r="L52" i="56"/>
  <c r="K52" i="56"/>
  <c r="S50" i="56"/>
  <c r="S49" i="56" s="1"/>
  <c r="R50" i="56"/>
  <c r="R49" i="56" s="1"/>
  <c r="Q50" i="56"/>
  <c r="Q49" i="56" s="1"/>
  <c r="P49" i="56"/>
  <c r="N49" i="56"/>
  <c r="M49" i="56"/>
  <c r="L49" i="56"/>
  <c r="K49" i="56"/>
  <c r="S48" i="56"/>
  <c r="S47" i="56" s="1"/>
  <c r="R48" i="56"/>
  <c r="R47" i="56" s="1"/>
  <c r="Q48" i="56"/>
  <c r="Q47" i="56" s="1"/>
  <c r="P47" i="56"/>
  <c r="N47" i="56"/>
  <c r="M47" i="56"/>
  <c r="L47" i="56"/>
  <c r="K47" i="56"/>
  <c r="S46" i="56"/>
  <c r="S45" i="56" s="1"/>
  <c r="R46" i="56"/>
  <c r="R45" i="56" s="1"/>
  <c r="Q46" i="56"/>
  <c r="Q45" i="56" s="1"/>
  <c r="O45" i="56" s="1"/>
  <c r="P45" i="56"/>
  <c r="N45" i="56"/>
  <c r="M45" i="56"/>
  <c r="L45" i="56"/>
  <c r="K45" i="56"/>
  <c r="S44" i="56"/>
  <c r="S43" i="56" s="1"/>
  <c r="R44" i="56"/>
  <c r="R43" i="56" s="1"/>
  <c r="Q44" i="56"/>
  <c r="Q43" i="56" s="1"/>
  <c r="P43" i="56"/>
  <c r="N43" i="56"/>
  <c r="M43" i="56"/>
  <c r="L43" i="56"/>
  <c r="K43" i="56"/>
  <c r="S42" i="56"/>
  <c r="S41" i="56" s="1"/>
  <c r="R42" i="56"/>
  <c r="R41" i="56" s="1"/>
  <c r="Q42" i="56"/>
  <c r="Q41" i="56" s="1"/>
  <c r="P41" i="56"/>
  <c r="N41" i="56"/>
  <c r="M41" i="56"/>
  <c r="L41" i="56"/>
  <c r="K41" i="56"/>
  <c r="S40" i="56"/>
  <c r="S39" i="56" s="1"/>
  <c r="R40" i="56"/>
  <c r="R39" i="56" s="1"/>
  <c r="Q40" i="56"/>
  <c r="Q39" i="56" s="1"/>
  <c r="O39" i="56" s="1"/>
  <c r="P39" i="56"/>
  <c r="N39" i="56"/>
  <c r="M39" i="56"/>
  <c r="L39" i="56"/>
  <c r="K39" i="56"/>
  <c r="S38" i="56"/>
  <c r="S37" i="56" s="1"/>
  <c r="R38" i="56"/>
  <c r="R37" i="56" s="1"/>
  <c r="Q38" i="56"/>
  <c r="Q37" i="56"/>
  <c r="P37" i="56"/>
  <c r="N37" i="56"/>
  <c r="O37" i="56" s="1"/>
  <c r="M37" i="56"/>
  <c r="L37" i="56"/>
  <c r="K37" i="56"/>
  <c r="S35" i="56"/>
  <c r="R35" i="56"/>
  <c r="R34" i="56" s="1"/>
  <c r="Q35" i="56"/>
  <c r="Q34" i="56" s="1"/>
  <c r="P34" i="56"/>
  <c r="N34" i="56"/>
  <c r="M34" i="56"/>
  <c r="L34" i="56"/>
  <c r="K34" i="56"/>
  <c r="S32" i="56"/>
  <c r="R32" i="56"/>
  <c r="Q32" i="56"/>
  <c r="S31" i="56"/>
  <c r="R31" i="56"/>
  <c r="Q31" i="56"/>
  <c r="P30" i="56"/>
  <c r="N30" i="56"/>
  <c r="M30" i="56"/>
  <c r="L30" i="56"/>
  <c r="K30" i="56"/>
  <c r="S27" i="56"/>
  <c r="S26" i="56" s="1"/>
  <c r="R27" i="56"/>
  <c r="R26" i="56" s="1"/>
  <c r="Q27" i="56"/>
  <c r="Q26" i="56" s="1"/>
  <c r="N27" i="56"/>
  <c r="N26" i="56" s="1"/>
  <c r="P26" i="56"/>
  <c r="M26" i="56"/>
  <c r="L26" i="56"/>
  <c r="K26" i="56"/>
  <c r="S24" i="56"/>
  <c r="S23" i="56" s="1"/>
  <c r="R24" i="56"/>
  <c r="R23" i="56" s="1"/>
  <c r="Q24" i="56"/>
  <c r="Q23" i="56" s="1"/>
  <c r="P23" i="56"/>
  <c r="N23" i="56"/>
  <c r="M23" i="56"/>
  <c r="L23" i="56"/>
  <c r="K23" i="56"/>
  <c r="S18" i="56"/>
  <c r="S17" i="56" s="1"/>
  <c r="R18" i="56"/>
  <c r="R17" i="56" s="1"/>
  <c r="Q18" i="56"/>
  <c r="Q17" i="56" s="1"/>
  <c r="N18" i="56"/>
  <c r="N17" i="56" s="1"/>
  <c r="P17" i="56"/>
  <c r="M17" i="56"/>
  <c r="L17" i="56"/>
  <c r="K17" i="56"/>
  <c r="S15" i="56"/>
  <c r="S14" i="56" s="1"/>
  <c r="R15" i="56"/>
  <c r="R14" i="56" s="1"/>
  <c r="Q15" i="56"/>
  <c r="Q14" i="56" s="1"/>
  <c r="P14" i="56"/>
  <c r="N14" i="56"/>
  <c r="M14" i="56"/>
  <c r="L14" i="56"/>
  <c r="K14" i="56"/>
  <c r="S12" i="56"/>
  <c r="S11" i="56" s="1"/>
  <c r="R12" i="56"/>
  <c r="R11" i="56" s="1"/>
  <c r="Q12" i="56"/>
  <c r="Q11" i="56" s="1"/>
  <c r="P11" i="56"/>
  <c r="N11" i="56"/>
  <c r="M11" i="56"/>
  <c r="L11" i="56"/>
  <c r="K11" i="56"/>
  <c r="R96" i="56" l="1"/>
  <c r="R30" i="56"/>
  <c r="R151" i="56" s="1"/>
  <c r="Q147" i="56"/>
  <c r="O147" i="56" s="1"/>
  <c r="R103" i="56"/>
  <c r="S30" i="56"/>
  <c r="O99" i="56"/>
  <c r="S112" i="56"/>
  <c r="O17" i="56"/>
  <c r="Q62" i="56"/>
  <c r="O62" i="56" s="1"/>
  <c r="R109" i="56"/>
  <c r="S122" i="56"/>
  <c r="O52" i="56"/>
  <c r="S34" i="56"/>
  <c r="S68" i="56"/>
  <c r="Q133" i="56"/>
  <c r="O133" i="56" s="1"/>
  <c r="O14" i="56"/>
  <c r="O79" i="56"/>
  <c r="O34" i="56"/>
  <c r="Q57" i="56"/>
  <c r="O57" i="56" s="1"/>
  <c r="O68" i="56"/>
  <c r="R68" i="56"/>
  <c r="S86" i="56"/>
  <c r="S133" i="56"/>
  <c r="Q82" i="56"/>
  <c r="O82" i="56" s="1"/>
  <c r="S91" i="56"/>
  <c r="Q112" i="56"/>
  <c r="O23" i="56"/>
  <c r="Q96" i="56"/>
  <c r="O96" i="56" s="1"/>
  <c r="R143" i="56"/>
  <c r="O49" i="56"/>
  <c r="Q109" i="56"/>
  <c r="O109" i="56" s="1"/>
  <c r="R133" i="56"/>
  <c r="R138" i="56"/>
  <c r="S143" i="56"/>
  <c r="Q138" i="56"/>
  <c r="O138" i="56" s="1"/>
  <c r="Q143" i="56"/>
  <c r="O143" i="56" s="1"/>
  <c r="O43" i="56"/>
  <c r="Q30" i="56"/>
  <c r="O30" i="56" s="1"/>
  <c r="O47" i="56"/>
  <c r="S109" i="56"/>
  <c r="S138" i="56"/>
  <c r="S62" i="56"/>
  <c r="Q91" i="56"/>
  <c r="O91" i="56" s="1"/>
  <c r="O116" i="56"/>
  <c r="O26" i="56"/>
  <c r="O127" i="56"/>
  <c r="O41" i="56"/>
  <c r="O112" i="56"/>
  <c r="R62" i="56"/>
  <c r="R54" i="56"/>
  <c r="S57" i="56"/>
  <c r="Q60" i="56"/>
  <c r="Q65" i="56"/>
  <c r="O11" i="56"/>
  <c r="R52" i="56"/>
  <c r="R116" i="56"/>
  <c r="Q122" i="56"/>
  <c r="O122" i="56" s="1"/>
  <c r="S151" i="56" l="1"/>
  <c r="Q151" i="56"/>
  <c r="T151" i="56" s="1"/>
  <c r="O65" i="56"/>
  <c r="O60" i="56"/>
  <c r="O152" i="56" s="1"/>
  <c r="U151" i="56" l="1"/>
  <c r="G151" i="56"/>
  <c r="D27" i="5" s="1"/>
  <c r="O151" i="56"/>
  <c r="E27" i="5" s="1"/>
  <c r="E26" i="5"/>
  <c r="D26" i="5"/>
  <c r="C26" i="5"/>
  <c r="C69" i="55"/>
  <c r="O70" i="55"/>
  <c r="O69" i="55"/>
  <c r="U69" i="55"/>
  <c r="T69" i="55"/>
  <c r="U67" i="55"/>
  <c r="T67" i="55"/>
  <c r="M67" i="55"/>
  <c r="S66" i="55"/>
  <c r="R66" i="55"/>
  <c r="U66" i="55" s="1"/>
  <c r="Q66" i="55"/>
  <c r="P66" i="55"/>
  <c r="N66" i="55"/>
  <c r="L66" i="55"/>
  <c r="K66" i="55"/>
  <c r="U63" i="55"/>
  <c r="T63" i="55"/>
  <c r="S62" i="55"/>
  <c r="R62" i="55"/>
  <c r="U62" i="55" s="1"/>
  <c r="Q62" i="55"/>
  <c r="P62" i="55"/>
  <c r="N62" i="55"/>
  <c r="L62" i="55"/>
  <c r="K62" i="55"/>
  <c r="U57" i="55"/>
  <c r="T57" i="55"/>
  <c r="M57" i="55"/>
  <c r="S56" i="55"/>
  <c r="R56" i="55"/>
  <c r="U56" i="55" s="1"/>
  <c r="Q56" i="55"/>
  <c r="T56" i="55" s="1"/>
  <c r="P56" i="55"/>
  <c r="N56" i="55"/>
  <c r="O56" i="55" s="1"/>
  <c r="L56" i="55"/>
  <c r="K56" i="55"/>
  <c r="U54" i="55"/>
  <c r="T54" i="55"/>
  <c r="U53" i="55"/>
  <c r="T53" i="55"/>
  <c r="M53" i="55"/>
  <c r="S52" i="55"/>
  <c r="R52" i="55"/>
  <c r="U52" i="55" s="1"/>
  <c r="Q52" i="55"/>
  <c r="T52" i="55" s="1"/>
  <c r="P52" i="55"/>
  <c r="N52" i="55"/>
  <c r="O52" i="55" s="1"/>
  <c r="L52" i="55"/>
  <c r="K52" i="55"/>
  <c r="U50" i="55"/>
  <c r="T50" i="55"/>
  <c r="S49" i="55"/>
  <c r="R49" i="55"/>
  <c r="U49" i="55" s="1"/>
  <c r="Q49" i="55"/>
  <c r="T49" i="55" s="1"/>
  <c r="P49" i="55"/>
  <c r="N49" i="55"/>
  <c r="L49" i="55"/>
  <c r="K49" i="55"/>
  <c r="U47" i="55"/>
  <c r="T47" i="55"/>
  <c r="U46" i="55"/>
  <c r="T46" i="55"/>
  <c r="M46" i="55"/>
  <c r="S45" i="55"/>
  <c r="R45" i="55"/>
  <c r="U45" i="55" s="1"/>
  <c r="Q45" i="55"/>
  <c r="T45" i="55" s="1"/>
  <c r="P45" i="55"/>
  <c r="N45" i="55"/>
  <c r="L45" i="55"/>
  <c r="K45" i="55"/>
  <c r="U43" i="55"/>
  <c r="T43" i="55"/>
  <c r="S42" i="55"/>
  <c r="R42" i="55"/>
  <c r="U42" i="55" s="1"/>
  <c r="Q42" i="55"/>
  <c r="T42" i="55" s="1"/>
  <c r="P42" i="55"/>
  <c r="N42" i="55"/>
  <c r="O42" i="55" s="1"/>
  <c r="L42" i="55"/>
  <c r="K42" i="55"/>
  <c r="U40" i="55"/>
  <c r="T40" i="55"/>
  <c r="S39" i="55"/>
  <c r="R39" i="55"/>
  <c r="Q39" i="55"/>
  <c r="T39" i="55" s="1"/>
  <c r="P39" i="55"/>
  <c r="N39" i="55"/>
  <c r="L39" i="55"/>
  <c r="K39" i="55"/>
  <c r="U37" i="55"/>
  <c r="T37" i="55"/>
  <c r="U36" i="55"/>
  <c r="T36" i="55"/>
  <c r="M36" i="55"/>
  <c r="S35" i="55"/>
  <c r="R35" i="55"/>
  <c r="Q35" i="55"/>
  <c r="T35" i="55" s="1"/>
  <c r="P35" i="55"/>
  <c r="N35" i="55"/>
  <c r="O35" i="55" s="1"/>
  <c r="L35" i="55"/>
  <c r="K35" i="55"/>
  <c r="U33" i="55"/>
  <c r="T33" i="55"/>
  <c r="M33" i="55"/>
  <c r="S32" i="55"/>
  <c r="R32" i="55"/>
  <c r="U32" i="55" s="1"/>
  <c r="Q32" i="55"/>
  <c r="T32" i="55" s="1"/>
  <c r="P32" i="55"/>
  <c r="N32" i="55"/>
  <c r="L32" i="55"/>
  <c r="K32" i="55"/>
  <c r="U30" i="55"/>
  <c r="T30" i="55"/>
  <c r="S29" i="55"/>
  <c r="R29" i="55"/>
  <c r="Q29" i="55"/>
  <c r="T29" i="55" s="1"/>
  <c r="P29" i="55"/>
  <c r="N29" i="55"/>
  <c r="O29" i="55" s="1"/>
  <c r="L29" i="55"/>
  <c r="K29" i="55"/>
  <c r="U26" i="55"/>
  <c r="T26" i="55"/>
  <c r="S25" i="55"/>
  <c r="R25" i="55"/>
  <c r="U25" i="55" s="1"/>
  <c r="Q25" i="55"/>
  <c r="T25" i="55" s="1"/>
  <c r="P25" i="55"/>
  <c r="N25" i="55"/>
  <c r="L25" i="55"/>
  <c r="U23" i="55"/>
  <c r="T23" i="55"/>
  <c r="S22" i="55"/>
  <c r="R22" i="55"/>
  <c r="U22" i="55" s="1"/>
  <c r="Q22" i="55"/>
  <c r="T22" i="55" s="1"/>
  <c r="P22" i="55"/>
  <c r="N22" i="55"/>
  <c r="L22" i="55"/>
  <c r="K22" i="55"/>
  <c r="U19" i="55"/>
  <c r="T19" i="55"/>
  <c r="S18" i="55"/>
  <c r="R18" i="55"/>
  <c r="Q18" i="55"/>
  <c r="P18" i="55"/>
  <c r="N18" i="55"/>
  <c r="L18" i="55"/>
  <c r="K18" i="55"/>
  <c r="U13" i="55"/>
  <c r="T13" i="55"/>
  <c r="U12" i="55"/>
  <c r="T12" i="55"/>
  <c r="S11" i="55"/>
  <c r="R11" i="55"/>
  <c r="Q11" i="55"/>
  <c r="P11" i="55"/>
  <c r="N11" i="55"/>
  <c r="O11" i="55" s="1"/>
  <c r="L11" i="55"/>
  <c r="K11" i="55"/>
  <c r="O39" i="55" l="1"/>
  <c r="O18" i="55"/>
  <c r="U29" i="55"/>
  <c r="G69" i="55"/>
  <c r="O25" i="55"/>
  <c r="P69" i="55"/>
  <c r="P71" i="55" s="1"/>
  <c r="T11" i="55"/>
  <c r="T62" i="55"/>
  <c r="R69" i="55"/>
  <c r="R71" i="55" s="1"/>
  <c r="U11" i="55"/>
  <c r="U18" i="55"/>
  <c r="U35" i="55"/>
  <c r="Q69" i="55"/>
  <c r="Q71" i="55" s="1"/>
  <c r="U39" i="55"/>
  <c r="O62" i="55"/>
  <c r="T18" i="55"/>
  <c r="O66" i="55"/>
  <c r="T66" i="55"/>
  <c r="O45" i="55"/>
  <c r="O49" i="55"/>
  <c r="O22" i="55"/>
  <c r="O32" i="55"/>
  <c r="S69" i="55"/>
  <c r="S71" i="55" s="1"/>
  <c r="C25" i="5" l="1"/>
  <c r="O87" i="54"/>
  <c r="O86" i="54"/>
  <c r="E25" i="5" s="1"/>
  <c r="G86" i="54"/>
  <c r="D25" i="5" s="1"/>
  <c r="C86" i="54"/>
  <c r="U84" i="54"/>
  <c r="T84" i="54"/>
  <c r="N84" i="54"/>
  <c r="S83" i="54"/>
  <c r="R83" i="54"/>
  <c r="U83" i="54" s="1"/>
  <c r="Q83" i="54"/>
  <c r="T83" i="54" s="1"/>
  <c r="P83" i="54"/>
  <c r="L83" i="54"/>
  <c r="K83" i="54"/>
  <c r="N83" i="54" s="1"/>
  <c r="K82" i="54"/>
  <c r="U81" i="54"/>
  <c r="T81" i="54"/>
  <c r="U80" i="54"/>
  <c r="Q80" i="54"/>
  <c r="T80" i="54" s="1"/>
  <c r="P80" i="54"/>
  <c r="L80" i="54"/>
  <c r="K80" i="54"/>
  <c r="U79" i="54"/>
  <c r="T79" i="54"/>
  <c r="S78" i="54"/>
  <c r="R78" i="54"/>
  <c r="U78" i="54" s="1"/>
  <c r="Q78" i="54"/>
  <c r="T78" i="54" s="1"/>
  <c r="P78" i="54"/>
  <c r="L78" i="54"/>
  <c r="K78" i="54"/>
  <c r="K77" i="54"/>
  <c r="U76" i="54"/>
  <c r="T76" i="54"/>
  <c r="S75" i="54"/>
  <c r="R75" i="54"/>
  <c r="U75" i="54" s="1"/>
  <c r="Q75" i="54"/>
  <c r="T75" i="54" s="1"/>
  <c r="P75" i="54"/>
  <c r="L75" i="54"/>
  <c r="K75" i="54"/>
  <c r="K74" i="54" s="1"/>
  <c r="U73" i="54"/>
  <c r="T73" i="54"/>
  <c r="S72" i="54"/>
  <c r="R72" i="54"/>
  <c r="U72" i="54" s="1"/>
  <c r="Q72" i="54"/>
  <c r="T72" i="54" s="1"/>
  <c r="P72" i="54"/>
  <c r="L72" i="54"/>
  <c r="K72" i="54"/>
  <c r="K71" i="54" s="1"/>
  <c r="U70" i="54"/>
  <c r="T70" i="54"/>
  <c r="U69" i="54"/>
  <c r="T69" i="54"/>
  <c r="S68" i="54"/>
  <c r="R68" i="54"/>
  <c r="U68" i="54" s="1"/>
  <c r="Q68" i="54"/>
  <c r="T68" i="54" s="1"/>
  <c r="P68" i="54"/>
  <c r="N68" i="54"/>
  <c r="M68" i="54"/>
  <c r="L68" i="54"/>
  <c r="K68" i="54"/>
  <c r="U67" i="54"/>
  <c r="T67" i="54"/>
  <c r="S66" i="54"/>
  <c r="R66" i="54"/>
  <c r="U66" i="54" s="1"/>
  <c r="Q66" i="54"/>
  <c r="T66" i="54" s="1"/>
  <c r="P66" i="54"/>
  <c r="L66" i="54"/>
  <c r="K66" i="54"/>
  <c r="S64" i="54"/>
  <c r="R64" i="54"/>
  <c r="Q64" i="54"/>
  <c r="P64" i="54"/>
  <c r="L64" i="54"/>
  <c r="K64" i="54"/>
  <c r="U63" i="54"/>
  <c r="T63" i="54"/>
  <c r="U62" i="54"/>
  <c r="Q62" i="54"/>
  <c r="T62" i="54" s="1"/>
  <c r="P62" i="54"/>
  <c r="L62" i="54"/>
  <c r="K62" i="54"/>
  <c r="U61" i="54"/>
  <c r="T61" i="54"/>
  <c r="U60" i="54"/>
  <c r="S60" i="54"/>
  <c r="R60" i="54"/>
  <c r="Q60" i="54"/>
  <c r="T60" i="54" s="1"/>
  <c r="P60" i="54"/>
  <c r="L60" i="54"/>
  <c r="K60" i="54"/>
  <c r="U59" i="54"/>
  <c r="T59" i="54"/>
  <c r="Q58" i="54"/>
  <c r="P58" i="54"/>
  <c r="L58" i="54"/>
  <c r="K58" i="54"/>
  <c r="U56" i="54"/>
  <c r="T56" i="54"/>
  <c r="Q56" i="54"/>
  <c r="P56" i="54"/>
  <c r="L56" i="54"/>
  <c r="K56" i="54"/>
  <c r="S53" i="54"/>
  <c r="R53" i="54"/>
  <c r="Q53" i="54"/>
  <c r="P53" i="54"/>
  <c r="L53" i="54"/>
  <c r="K53" i="54"/>
  <c r="U52" i="54"/>
  <c r="T52" i="54"/>
  <c r="S51" i="54"/>
  <c r="R51" i="54"/>
  <c r="U51" i="54" s="1"/>
  <c r="Q51" i="54"/>
  <c r="T51" i="54" s="1"/>
  <c r="P51" i="54"/>
  <c r="L51" i="54"/>
  <c r="K51" i="54"/>
  <c r="U50" i="54"/>
  <c r="T50" i="54"/>
  <c r="U49" i="54"/>
  <c r="S49" i="54"/>
  <c r="R49" i="54"/>
  <c r="T49" i="54" s="1"/>
  <c r="Q49" i="54"/>
  <c r="P49" i="54"/>
  <c r="L49" i="54"/>
  <c r="K49" i="54"/>
  <c r="U48" i="54"/>
  <c r="T48" i="54"/>
  <c r="U47" i="54"/>
  <c r="T47" i="54"/>
  <c r="U46" i="54"/>
  <c r="T46" i="54"/>
  <c r="S46" i="54"/>
  <c r="R46" i="54"/>
  <c r="Q46" i="54"/>
  <c r="P46" i="54"/>
  <c r="L46" i="54"/>
  <c r="K46" i="54"/>
  <c r="U45" i="54"/>
  <c r="T45" i="54"/>
  <c r="U44" i="54"/>
  <c r="S44" i="54"/>
  <c r="R44" i="54"/>
  <c r="Q44" i="54"/>
  <c r="T44" i="54" s="1"/>
  <c r="P44" i="54"/>
  <c r="L44" i="54"/>
  <c r="K44" i="54"/>
  <c r="U43" i="54"/>
  <c r="T43" i="54"/>
  <c r="U42" i="54"/>
  <c r="T42" i="54"/>
  <c r="U41" i="54"/>
  <c r="T41" i="54"/>
  <c r="S41" i="54"/>
  <c r="R41" i="54"/>
  <c r="Q41" i="54"/>
  <c r="P41" i="54"/>
  <c r="L41" i="54"/>
  <c r="K41" i="54"/>
  <c r="S39" i="54"/>
  <c r="R39" i="54"/>
  <c r="U39" i="54" s="1"/>
  <c r="Q39" i="54"/>
  <c r="T39" i="54" s="1"/>
  <c r="P39" i="54"/>
  <c r="L39" i="54"/>
  <c r="K39" i="54"/>
  <c r="U38" i="54"/>
  <c r="T38" i="54"/>
  <c r="U37" i="54"/>
  <c r="T37" i="54"/>
  <c r="S37" i="54"/>
  <c r="R37" i="54"/>
  <c r="Q37" i="54"/>
  <c r="P37" i="54"/>
  <c r="L37" i="54"/>
  <c r="K37" i="54"/>
  <c r="U36" i="54"/>
  <c r="T36" i="54"/>
  <c r="S35" i="54"/>
  <c r="R35" i="54"/>
  <c r="U35" i="54" s="1"/>
  <c r="Q35" i="54"/>
  <c r="T35" i="54" s="1"/>
  <c r="P35" i="54"/>
  <c r="L35" i="54"/>
  <c r="K35" i="54"/>
  <c r="U34" i="54"/>
  <c r="T34" i="54"/>
  <c r="S33" i="54"/>
  <c r="R33" i="54"/>
  <c r="T33" i="54" s="1"/>
  <c r="Q33" i="54"/>
  <c r="P33" i="54"/>
  <c r="L33" i="54"/>
  <c r="K33" i="54"/>
  <c r="U30" i="54"/>
  <c r="T30" i="54"/>
  <c r="U29" i="54"/>
  <c r="T29" i="54"/>
  <c r="U28" i="54"/>
  <c r="T28" i="54"/>
  <c r="U27" i="54"/>
  <c r="S27" i="54"/>
  <c r="R27" i="54"/>
  <c r="T27" i="54" s="1"/>
  <c r="Q27" i="54"/>
  <c r="P27" i="54"/>
  <c r="L27" i="54"/>
  <c r="K26" i="54"/>
  <c r="U24" i="54"/>
  <c r="T24" i="54"/>
  <c r="U23" i="54"/>
  <c r="S23" i="54"/>
  <c r="R23" i="54"/>
  <c r="Q23" i="54"/>
  <c r="T23" i="54" s="1"/>
  <c r="P23" i="54"/>
  <c r="L23" i="54"/>
  <c r="K23" i="54"/>
  <c r="K22" i="54" s="1"/>
  <c r="U19" i="54"/>
  <c r="T19" i="54"/>
  <c r="S18" i="54"/>
  <c r="R18" i="54"/>
  <c r="U18" i="54" s="1"/>
  <c r="Q18" i="54"/>
  <c r="T18" i="54" s="1"/>
  <c r="P18" i="54"/>
  <c r="P86" i="54" s="1"/>
  <c r="L18" i="54"/>
  <c r="K18" i="54"/>
  <c r="K17" i="54" s="1"/>
  <c r="U13" i="54"/>
  <c r="T13" i="54"/>
  <c r="K13" i="54"/>
  <c r="U12" i="54"/>
  <c r="T12" i="54"/>
  <c r="N12" i="54"/>
  <c r="S11" i="54"/>
  <c r="S86" i="54" s="1"/>
  <c r="R11" i="54"/>
  <c r="R86" i="54" s="1"/>
  <c r="U86" i="54" s="1"/>
  <c r="Q11" i="54"/>
  <c r="Q86" i="54" s="1"/>
  <c r="T86" i="54" s="1"/>
  <c r="P11" i="54"/>
  <c r="L11" i="54"/>
  <c r="U33" i="54" l="1"/>
  <c r="U11" i="54"/>
  <c r="K11" i="54"/>
  <c r="T11" i="54"/>
  <c r="K10" i="54" l="1"/>
  <c r="N11" i="54"/>
  <c r="E24" i="5" l="1"/>
  <c r="D24" i="5"/>
  <c r="C24" i="5"/>
  <c r="U293" i="53"/>
  <c r="T293" i="53"/>
  <c r="O294" i="53"/>
  <c r="O293" i="53"/>
  <c r="G293" i="53"/>
  <c r="C293" i="53"/>
  <c r="U291" i="53"/>
  <c r="T291" i="53"/>
  <c r="U290" i="53"/>
  <c r="T290" i="53"/>
  <c r="T289" i="53"/>
  <c r="S289" i="53"/>
  <c r="U289" i="53" s="1"/>
  <c r="R289" i="53"/>
  <c r="Q289" i="53"/>
  <c r="P289" i="53"/>
  <c r="O289" i="53"/>
  <c r="N289" i="53"/>
  <c r="L289" i="53"/>
  <c r="K288" i="53"/>
  <c r="U285" i="53"/>
  <c r="T285" i="53"/>
  <c r="U284" i="53"/>
  <c r="T284" i="53"/>
  <c r="U283" i="53"/>
  <c r="T283" i="53"/>
  <c r="S283" i="53"/>
  <c r="R283" i="53"/>
  <c r="Q283" i="53"/>
  <c r="P283" i="53"/>
  <c r="O283" i="53"/>
  <c r="N283" i="53"/>
  <c r="L283" i="53"/>
  <c r="K282" i="53"/>
  <c r="U280" i="53"/>
  <c r="T280" i="53"/>
  <c r="S279" i="53"/>
  <c r="R279" i="53"/>
  <c r="U279" i="53" s="1"/>
  <c r="Q279" i="53"/>
  <c r="O279" i="53" s="1"/>
  <c r="P279" i="53"/>
  <c r="N279" i="53"/>
  <c r="L279" i="53"/>
  <c r="K279" i="53"/>
  <c r="K278" i="53"/>
  <c r="U277" i="53"/>
  <c r="T277" i="53"/>
  <c r="U276" i="53"/>
  <c r="T276" i="53"/>
  <c r="S275" i="53"/>
  <c r="R275" i="53"/>
  <c r="U275" i="53" s="1"/>
  <c r="Q275" i="53"/>
  <c r="P275" i="53"/>
  <c r="N275" i="53"/>
  <c r="O275" i="53" s="1"/>
  <c r="L275" i="53"/>
  <c r="U274" i="53"/>
  <c r="T274" i="53"/>
  <c r="U273" i="53"/>
  <c r="T273" i="53"/>
  <c r="S272" i="53"/>
  <c r="R272" i="53"/>
  <c r="U272" i="53" s="1"/>
  <c r="Q272" i="53"/>
  <c r="O272" i="53" s="1"/>
  <c r="P272" i="53"/>
  <c r="N272" i="53"/>
  <c r="L272" i="53"/>
  <c r="K271" i="53"/>
  <c r="U267" i="53"/>
  <c r="T267" i="53"/>
  <c r="U266" i="53"/>
  <c r="T266" i="53"/>
  <c r="S265" i="53"/>
  <c r="R265" i="53"/>
  <c r="U265" i="53" s="1"/>
  <c r="Q265" i="53"/>
  <c r="O265" i="53" s="1"/>
  <c r="P265" i="53"/>
  <c r="N265" i="53"/>
  <c r="L265" i="53"/>
  <c r="K265" i="53"/>
  <c r="U264" i="53"/>
  <c r="T264" i="53"/>
  <c r="U263" i="53"/>
  <c r="T263" i="53"/>
  <c r="S262" i="53"/>
  <c r="R262" i="53"/>
  <c r="U262" i="53" s="1"/>
  <c r="Q262" i="53"/>
  <c r="T262" i="53" s="1"/>
  <c r="P262" i="53"/>
  <c r="O262" i="53"/>
  <c r="N262" i="53"/>
  <c r="L262" i="53"/>
  <c r="K262" i="53"/>
  <c r="U260" i="53"/>
  <c r="T260" i="53"/>
  <c r="S259" i="53"/>
  <c r="R259" i="53"/>
  <c r="U259" i="53" s="1"/>
  <c r="Q259" i="53"/>
  <c r="T259" i="53" s="1"/>
  <c r="P259" i="53"/>
  <c r="N259" i="53"/>
  <c r="L259" i="53"/>
  <c r="K259" i="53"/>
  <c r="K258" i="53"/>
  <c r="U257" i="53"/>
  <c r="T257" i="53"/>
  <c r="U256" i="53"/>
  <c r="T256" i="53"/>
  <c r="U255" i="53"/>
  <c r="T255" i="53"/>
  <c r="U254" i="53"/>
  <c r="T254" i="53"/>
  <c r="S254" i="53"/>
  <c r="R254" i="53"/>
  <c r="Q254" i="53"/>
  <c r="O254" i="53" s="1"/>
  <c r="P254" i="53"/>
  <c r="N254" i="53"/>
  <c r="L254" i="53"/>
  <c r="K254" i="53"/>
  <c r="K253" i="53"/>
  <c r="U252" i="53"/>
  <c r="T252" i="53"/>
  <c r="U251" i="53"/>
  <c r="T251" i="53"/>
  <c r="T250" i="53"/>
  <c r="S250" i="53"/>
  <c r="U250" i="53" s="1"/>
  <c r="R250" i="53"/>
  <c r="Q250" i="53"/>
  <c r="P250" i="53"/>
  <c r="N250" i="53"/>
  <c r="O250" i="53" s="1"/>
  <c r="L250" i="53"/>
  <c r="K250" i="53"/>
  <c r="K249" i="53"/>
  <c r="U248" i="53"/>
  <c r="T248" i="53"/>
  <c r="U247" i="53"/>
  <c r="T247" i="53"/>
  <c r="U246" i="53"/>
  <c r="T246" i="53"/>
  <c r="U245" i="53"/>
  <c r="S245" i="53"/>
  <c r="R245" i="53"/>
  <c r="Q245" i="53"/>
  <c r="P245" i="53"/>
  <c r="N245" i="53"/>
  <c r="L245" i="53"/>
  <c r="K245" i="53"/>
  <c r="K244" i="53"/>
  <c r="U243" i="53"/>
  <c r="T243" i="53"/>
  <c r="U242" i="53"/>
  <c r="T242" i="53"/>
  <c r="S241" i="53"/>
  <c r="R241" i="53"/>
  <c r="Q241" i="53"/>
  <c r="P241" i="53"/>
  <c r="N241" i="53"/>
  <c r="O241" i="53" s="1"/>
  <c r="L241" i="53"/>
  <c r="K241" i="53"/>
  <c r="K240" i="53"/>
  <c r="U239" i="53"/>
  <c r="T239" i="53"/>
  <c r="U238" i="53"/>
  <c r="T238" i="53"/>
  <c r="T237" i="53"/>
  <c r="S237" i="53"/>
  <c r="U237" i="53" s="1"/>
  <c r="R237" i="53"/>
  <c r="Q237" i="53"/>
  <c r="P237" i="53"/>
  <c r="N237" i="53"/>
  <c r="O237" i="53" s="1"/>
  <c r="L237" i="53"/>
  <c r="K237" i="53"/>
  <c r="K236" i="53"/>
  <c r="U235" i="53"/>
  <c r="T235" i="53"/>
  <c r="U234" i="53"/>
  <c r="T234" i="53"/>
  <c r="U233" i="53"/>
  <c r="T233" i="53"/>
  <c r="S233" i="53"/>
  <c r="R233" i="53"/>
  <c r="Q233" i="53"/>
  <c r="P233" i="53"/>
  <c r="N233" i="53"/>
  <c r="O233" i="53" s="1"/>
  <c r="L233" i="53"/>
  <c r="K233" i="53"/>
  <c r="K232" i="53"/>
  <c r="U231" i="53"/>
  <c r="T231" i="53"/>
  <c r="U230" i="53"/>
  <c r="T230" i="53"/>
  <c r="U229" i="53"/>
  <c r="S229" i="53"/>
  <c r="R229" i="53"/>
  <c r="Q229" i="53"/>
  <c r="T229" i="53" s="1"/>
  <c r="P229" i="53"/>
  <c r="N229" i="53"/>
  <c r="O229" i="53" s="1"/>
  <c r="L229" i="53"/>
  <c r="K229" i="53"/>
  <c r="U228" i="53"/>
  <c r="T228" i="53"/>
  <c r="U227" i="53"/>
  <c r="T227" i="53"/>
  <c r="U226" i="53"/>
  <c r="T226" i="53"/>
  <c r="S226" i="53"/>
  <c r="R226" i="53"/>
  <c r="Q226" i="53"/>
  <c r="P226" i="53"/>
  <c r="N226" i="53"/>
  <c r="O226" i="53" s="1"/>
  <c r="L226" i="53"/>
  <c r="K226" i="53"/>
  <c r="K225" i="53"/>
  <c r="U224" i="53"/>
  <c r="T224" i="53"/>
  <c r="U223" i="53"/>
  <c r="T223" i="53"/>
  <c r="U222" i="53"/>
  <c r="S222" i="53"/>
  <c r="R222" i="53"/>
  <c r="Q222" i="53"/>
  <c r="T222" i="53" s="1"/>
  <c r="P222" i="53"/>
  <c r="N222" i="53"/>
  <c r="O222" i="53" s="1"/>
  <c r="L222" i="53"/>
  <c r="K222" i="53"/>
  <c r="K221" i="53" s="1"/>
  <c r="U220" i="53"/>
  <c r="T220" i="53"/>
  <c r="U219" i="53"/>
  <c r="T219" i="53"/>
  <c r="S218" i="53"/>
  <c r="R218" i="53"/>
  <c r="U218" i="53" s="1"/>
  <c r="Q218" i="53"/>
  <c r="T218" i="53" s="1"/>
  <c r="P218" i="53"/>
  <c r="N218" i="53"/>
  <c r="O218" i="53" s="1"/>
  <c r="L218" i="53"/>
  <c r="U217" i="53"/>
  <c r="T217" i="53"/>
  <c r="U216" i="53"/>
  <c r="T216" i="53"/>
  <c r="U215" i="53"/>
  <c r="T215" i="53"/>
  <c r="S215" i="53"/>
  <c r="R215" i="53"/>
  <c r="Q215" i="53"/>
  <c r="P215" i="53"/>
  <c r="N215" i="53"/>
  <c r="O215" i="53" s="1"/>
  <c r="L215" i="53"/>
  <c r="U214" i="53"/>
  <c r="T214" i="53"/>
  <c r="U213" i="53"/>
  <c r="T213" i="53"/>
  <c r="S212" i="53"/>
  <c r="R212" i="53"/>
  <c r="Q212" i="53"/>
  <c r="P212" i="53"/>
  <c r="N212" i="53"/>
  <c r="O212" i="53" s="1"/>
  <c r="L212" i="53"/>
  <c r="K211" i="53"/>
  <c r="U210" i="53"/>
  <c r="T210" i="53"/>
  <c r="U209" i="53"/>
  <c r="T209" i="53"/>
  <c r="S209" i="53"/>
  <c r="R209" i="53"/>
  <c r="Q209" i="53"/>
  <c r="O209" i="53" s="1"/>
  <c r="P209" i="53"/>
  <c r="N209" i="53"/>
  <c r="L209" i="53"/>
  <c r="K209" i="53"/>
  <c r="U208" i="53"/>
  <c r="T208" i="53"/>
  <c r="U207" i="53"/>
  <c r="T207" i="53"/>
  <c r="T206" i="53"/>
  <c r="S206" i="53"/>
  <c r="U206" i="53" s="1"/>
  <c r="R206" i="53"/>
  <c r="Q206" i="53"/>
  <c r="P206" i="53"/>
  <c r="O206" i="53"/>
  <c r="N206" i="53"/>
  <c r="L206" i="53"/>
  <c r="K206" i="53"/>
  <c r="U205" i="53"/>
  <c r="T205" i="53"/>
  <c r="S204" i="53"/>
  <c r="R204" i="53"/>
  <c r="U204" i="53" s="1"/>
  <c r="Q204" i="53"/>
  <c r="O204" i="53" s="1"/>
  <c r="P204" i="53"/>
  <c r="N204" i="53"/>
  <c r="L204" i="53"/>
  <c r="K204" i="53"/>
  <c r="U203" i="53"/>
  <c r="T203" i="53"/>
  <c r="S202" i="53"/>
  <c r="R202" i="53"/>
  <c r="U202" i="53" s="1"/>
  <c r="Q202" i="53"/>
  <c r="T202" i="53" s="1"/>
  <c r="P202" i="53"/>
  <c r="N202" i="53"/>
  <c r="O202" i="53" s="1"/>
  <c r="L202" i="53"/>
  <c r="K202" i="53"/>
  <c r="U201" i="53"/>
  <c r="T201" i="53"/>
  <c r="U200" i="53"/>
  <c r="T200" i="53"/>
  <c r="S199" i="53"/>
  <c r="R199" i="53"/>
  <c r="U199" i="53" s="1"/>
  <c r="Q199" i="53"/>
  <c r="T199" i="53" s="1"/>
  <c r="P199" i="53"/>
  <c r="N199" i="53"/>
  <c r="O199" i="53" s="1"/>
  <c r="L199" i="53"/>
  <c r="K199" i="53"/>
  <c r="U197" i="53"/>
  <c r="T197" i="53"/>
  <c r="S196" i="53"/>
  <c r="R196" i="53"/>
  <c r="U196" i="53" s="1"/>
  <c r="Q196" i="53"/>
  <c r="T196" i="53" s="1"/>
  <c r="P196" i="53"/>
  <c r="O196" i="53"/>
  <c r="N196" i="53"/>
  <c r="L196" i="53"/>
  <c r="K196" i="53"/>
  <c r="U195" i="53"/>
  <c r="T195" i="53"/>
  <c r="U194" i="53"/>
  <c r="T194" i="53"/>
  <c r="S194" i="53"/>
  <c r="R194" i="53"/>
  <c r="Q194" i="53"/>
  <c r="P194" i="53"/>
  <c r="N194" i="53"/>
  <c r="O194" i="53" s="1"/>
  <c r="L194" i="53"/>
  <c r="K194" i="53"/>
  <c r="U193" i="53"/>
  <c r="T193" i="53"/>
  <c r="U192" i="53"/>
  <c r="S192" i="53"/>
  <c r="R192" i="53"/>
  <c r="Q192" i="53"/>
  <c r="P192" i="53"/>
  <c r="N192" i="53"/>
  <c r="L192" i="53"/>
  <c r="K192" i="53"/>
  <c r="U191" i="53"/>
  <c r="T191" i="53"/>
  <c r="U190" i="53"/>
  <c r="T190" i="53"/>
  <c r="S190" i="53"/>
  <c r="R190" i="53"/>
  <c r="Q190" i="53"/>
  <c r="P190" i="53"/>
  <c r="N190" i="53"/>
  <c r="O190" i="53" s="1"/>
  <c r="L190" i="53"/>
  <c r="K190" i="53"/>
  <c r="U189" i="53"/>
  <c r="T189" i="53"/>
  <c r="S188" i="53"/>
  <c r="R188" i="53"/>
  <c r="U188" i="53" s="1"/>
  <c r="Q188" i="53"/>
  <c r="T188" i="53" s="1"/>
  <c r="P188" i="53"/>
  <c r="O188" i="53"/>
  <c r="N188" i="53"/>
  <c r="L188" i="53"/>
  <c r="K188" i="53"/>
  <c r="U187" i="53"/>
  <c r="T187" i="53"/>
  <c r="S186" i="53"/>
  <c r="R186" i="53"/>
  <c r="U186" i="53" s="1"/>
  <c r="Q186" i="53"/>
  <c r="T186" i="53" s="1"/>
  <c r="P186" i="53"/>
  <c r="N186" i="53"/>
  <c r="O186" i="53" s="1"/>
  <c r="L186" i="53"/>
  <c r="K186" i="53"/>
  <c r="U185" i="53"/>
  <c r="T185" i="53"/>
  <c r="U184" i="53"/>
  <c r="S184" i="53"/>
  <c r="R184" i="53"/>
  <c r="Q184" i="53"/>
  <c r="T184" i="53" s="1"/>
  <c r="P184" i="53"/>
  <c r="N184" i="53"/>
  <c r="O184" i="53" s="1"/>
  <c r="L184" i="53"/>
  <c r="K184" i="53"/>
  <c r="U183" i="53"/>
  <c r="T183" i="53"/>
  <c r="S182" i="53"/>
  <c r="R182" i="53"/>
  <c r="Q182" i="53"/>
  <c r="P182" i="53"/>
  <c r="N182" i="53"/>
  <c r="O182" i="53" s="1"/>
  <c r="L182" i="53"/>
  <c r="K182" i="53"/>
  <c r="U181" i="53"/>
  <c r="T181" i="53"/>
  <c r="U180" i="53"/>
  <c r="T180" i="53"/>
  <c r="S180" i="53"/>
  <c r="R180" i="53"/>
  <c r="Q180" i="53"/>
  <c r="P180" i="53"/>
  <c r="O180" i="53"/>
  <c r="N180" i="53"/>
  <c r="L180" i="53"/>
  <c r="K180" i="53"/>
  <c r="U179" i="53"/>
  <c r="T179" i="53"/>
  <c r="S178" i="53"/>
  <c r="R178" i="53"/>
  <c r="U178" i="53" s="1"/>
  <c r="Q178" i="53"/>
  <c r="O178" i="53" s="1"/>
  <c r="P178" i="53"/>
  <c r="N178" i="53"/>
  <c r="L178" i="53"/>
  <c r="K178" i="53"/>
  <c r="U177" i="53"/>
  <c r="T177" i="53"/>
  <c r="S176" i="53"/>
  <c r="R176" i="53"/>
  <c r="U176" i="53" s="1"/>
  <c r="Q176" i="53"/>
  <c r="P176" i="53"/>
  <c r="N176" i="53"/>
  <c r="O176" i="53" s="1"/>
  <c r="L176" i="53"/>
  <c r="K176" i="53"/>
  <c r="U175" i="53"/>
  <c r="T175" i="53"/>
  <c r="S174" i="53"/>
  <c r="R174" i="53"/>
  <c r="U174" i="53" s="1"/>
  <c r="Q174" i="53"/>
  <c r="T174" i="53" s="1"/>
  <c r="P174" i="53"/>
  <c r="N174" i="53"/>
  <c r="O174" i="53" s="1"/>
  <c r="L174" i="53"/>
  <c r="K174" i="53"/>
  <c r="U173" i="53"/>
  <c r="T173" i="53"/>
  <c r="U172" i="53"/>
  <c r="T172" i="53"/>
  <c r="S172" i="53"/>
  <c r="R172" i="53"/>
  <c r="Q172" i="53"/>
  <c r="P172" i="53"/>
  <c r="N172" i="53"/>
  <c r="O172" i="53" s="1"/>
  <c r="L172" i="53"/>
  <c r="K172" i="53"/>
  <c r="U171" i="53"/>
  <c r="T171" i="53"/>
  <c r="U170" i="53"/>
  <c r="T170" i="53"/>
  <c r="S170" i="53"/>
  <c r="R170" i="53"/>
  <c r="Q170" i="53"/>
  <c r="O170" i="53" s="1"/>
  <c r="P170" i="53"/>
  <c r="N170" i="53"/>
  <c r="L170" i="53"/>
  <c r="K170" i="53"/>
  <c r="U169" i="53"/>
  <c r="T169" i="53"/>
  <c r="U168" i="53"/>
  <c r="T168" i="53"/>
  <c r="U167" i="53"/>
  <c r="T167" i="53"/>
  <c r="S167" i="53"/>
  <c r="R167" i="53"/>
  <c r="Q167" i="53"/>
  <c r="P167" i="53"/>
  <c r="O167" i="53"/>
  <c r="N167" i="53"/>
  <c r="L167" i="53"/>
  <c r="K167" i="53"/>
  <c r="U166" i="53"/>
  <c r="T166" i="53"/>
  <c r="S165" i="53"/>
  <c r="R165" i="53"/>
  <c r="U165" i="53" s="1"/>
  <c r="Q165" i="53"/>
  <c r="O165" i="53" s="1"/>
  <c r="P165" i="53"/>
  <c r="N165" i="53"/>
  <c r="L165" i="53"/>
  <c r="K165" i="53"/>
  <c r="U164" i="53"/>
  <c r="T164" i="53"/>
  <c r="S163" i="53"/>
  <c r="R163" i="53"/>
  <c r="U163" i="53" s="1"/>
  <c r="Q163" i="53"/>
  <c r="T163" i="53" s="1"/>
  <c r="P163" i="53"/>
  <c r="N163" i="53"/>
  <c r="O163" i="53" s="1"/>
  <c r="L163" i="53"/>
  <c r="K163" i="53"/>
  <c r="U160" i="53"/>
  <c r="T160" i="53"/>
  <c r="U159" i="53"/>
  <c r="T159" i="53"/>
  <c r="U158" i="53"/>
  <c r="T158" i="53"/>
  <c r="U157" i="53"/>
  <c r="T157" i="53"/>
  <c r="S156" i="53"/>
  <c r="R156" i="53"/>
  <c r="U156" i="53" s="1"/>
  <c r="Q156" i="53"/>
  <c r="P156" i="53"/>
  <c r="N156" i="53"/>
  <c r="O156" i="53" s="1"/>
  <c r="L156" i="53"/>
  <c r="K156" i="53"/>
  <c r="U155" i="53"/>
  <c r="T155" i="53"/>
  <c r="U154" i="53"/>
  <c r="T154" i="53"/>
  <c r="U153" i="53"/>
  <c r="T153" i="53"/>
  <c r="T152" i="53"/>
  <c r="S152" i="53"/>
  <c r="U152" i="53" s="1"/>
  <c r="R152" i="53"/>
  <c r="Q152" i="53"/>
  <c r="P152" i="53"/>
  <c r="O152" i="53"/>
  <c r="N152" i="53"/>
  <c r="L152" i="53"/>
  <c r="K151" i="53"/>
  <c r="U150" i="53"/>
  <c r="T150" i="53"/>
  <c r="S149" i="53"/>
  <c r="R149" i="53"/>
  <c r="U149" i="53" s="1"/>
  <c r="Q149" i="53"/>
  <c r="O149" i="53" s="1"/>
  <c r="P149" i="53"/>
  <c r="N149" i="53"/>
  <c r="L149" i="53"/>
  <c r="K149" i="53"/>
  <c r="K148" i="53"/>
  <c r="U147" i="53"/>
  <c r="T147" i="53"/>
  <c r="S146" i="53"/>
  <c r="R146" i="53"/>
  <c r="U146" i="53" s="1"/>
  <c r="Q146" i="53"/>
  <c r="O146" i="53" s="1"/>
  <c r="P146" i="53"/>
  <c r="N146" i="53"/>
  <c r="L146" i="53"/>
  <c r="K146" i="53"/>
  <c r="K145" i="53" s="1"/>
  <c r="U144" i="53"/>
  <c r="T144" i="53"/>
  <c r="U143" i="53"/>
  <c r="T143" i="53"/>
  <c r="U142" i="53"/>
  <c r="T142" i="53"/>
  <c r="T141" i="53"/>
  <c r="S141" i="53"/>
  <c r="U141" i="53" s="1"/>
  <c r="R141" i="53"/>
  <c r="Q141" i="53"/>
  <c r="P141" i="53"/>
  <c r="O141" i="53"/>
  <c r="N141" i="53"/>
  <c r="L141" i="53"/>
  <c r="K140" i="53"/>
  <c r="U139" i="53"/>
  <c r="T139" i="53"/>
  <c r="S138" i="53"/>
  <c r="R138" i="53"/>
  <c r="U138" i="53" s="1"/>
  <c r="Q138" i="53"/>
  <c r="O138" i="53" s="1"/>
  <c r="P138" i="53"/>
  <c r="N138" i="53"/>
  <c r="L138" i="53"/>
  <c r="K138" i="53"/>
  <c r="U137" i="53"/>
  <c r="T137" i="53"/>
  <c r="S136" i="53"/>
  <c r="R136" i="53"/>
  <c r="U136" i="53" s="1"/>
  <c r="Q136" i="53"/>
  <c r="T136" i="53" s="1"/>
  <c r="P136" i="53"/>
  <c r="N136" i="53"/>
  <c r="O136" i="53" s="1"/>
  <c r="L136" i="53"/>
  <c r="U135" i="53"/>
  <c r="T135" i="53"/>
  <c r="U134" i="53"/>
  <c r="T134" i="53"/>
  <c r="S133" i="53"/>
  <c r="R133" i="53"/>
  <c r="U133" i="53" s="1"/>
  <c r="Q133" i="53"/>
  <c r="T133" i="53" s="1"/>
  <c r="P133" i="53"/>
  <c r="N133" i="53"/>
  <c r="L133" i="53"/>
  <c r="K133" i="53"/>
  <c r="K132" i="53" s="1"/>
  <c r="U131" i="53"/>
  <c r="T131" i="53"/>
  <c r="S130" i="53"/>
  <c r="R130" i="53"/>
  <c r="U130" i="53" s="1"/>
  <c r="Q130" i="53"/>
  <c r="T130" i="53" s="1"/>
  <c r="P130" i="53"/>
  <c r="N130" i="53"/>
  <c r="O130" i="53" s="1"/>
  <c r="L130" i="53"/>
  <c r="K130" i="53"/>
  <c r="U129" i="53"/>
  <c r="T129" i="53"/>
  <c r="U128" i="53"/>
  <c r="T128" i="53"/>
  <c r="S128" i="53"/>
  <c r="R128" i="53"/>
  <c r="Q128" i="53"/>
  <c r="P128" i="53"/>
  <c r="N128" i="53"/>
  <c r="O128" i="53" s="1"/>
  <c r="L128" i="53"/>
  <c r="U127" i="53"/>
  <c r="T127" i="53"/>
  <c r="U126" i="53"/>
  <c r="T126" i="53"/>
  <c r="S125" i="53"/>
  <c r="R125" i="53"/>
  <c r="Q125" i="53"/>
  <c r="P125" i="53"/>
  <c r="N125" i="53"/>
  <c r="O125" i="53" s="1"/>
  <c r="L125" i="53"/>
  <c r="K125" i="53"/>
  <c r="K121" i="53" s="1"/>
  <c r="U124" i="53"/>
  <c r="T124" i="53"/>
  <c r="U123" i="53"/>
  <c r="T123" i="53"/>
  <c r="U122" i="53"/>
  <c r="S122" i="53"/>
  <c r="R122" i="53"/>
  <c r="Q122" i="53"/>
  <c r="P122" i="53"/>
  <c r="N122" i="53"/>
  <c r="L122" i="53"/>
  <c r="K122" i="53"/>
  <c r="U120" i="53"/>
  <c r="T120" i="53"/>
  <c r="U119" i="53"/>
  <c r="T119" i="53"/>
  <c r="S118" i="53"/>
  <c r="R118" i="53"/>
  <c r="Q118" i="53"/>
  <c r="P118" i="53"/>
  <c r="N118" i="53"/>
  <c r="O118" i="53" s="1"/>
  <c r="L118" i="53"/>
  <c r="K118" i="53"/>
  <c r="K117" i="53"/>
  <c r="U114" i="53"/>
  <c r="T114" i="53"/>
  <c r="U113" i="53"/>
  <c r="T113" i="53"/>
  <c r="T112" i="53"/>
  <c r="S112" i="53"/>
  <c r="U112" i="53" s="1"/>
  <c r="R112" i="53"/>
  <c r="Q112" i="53"/>
  <c r="P112" i="53"/>
  <c r="N112" i="53"/>
  <c r="O112" i="53" s="1"/>
  <c r="L112" i="53"/>
  <c r="K111" i="53"/>
  <c r="U110" i="53"/>
  <c r="T110" i="53"/>
  <c r="U109" i="53"/>
  <c r="T109" i="53"/>
  <c r="T108" i="53"/>
  <c r="S108" i="53"/>
  <c r="U108" i="53" s="1"/>
  <c r="R108" i="53"/>
  <c r="Q108" i="53"/>
  <c r="P108" i="53"/>
  <c r="N108" i="53"/>
  <c r="O108" i="53" s="1"/>
  <c r="L108" i="53"/>
  <c r="K108" i="53"/>
  <c r="K107" i="53" s="1"/>
  <c r="U104" i="53"/>
  <c r="T104" i="53"/>
  <c r="S103" i="53"/>
  <c r="R103" i="53"/>
  <c r="Q103" i="53"/>
  <c r="P103" i="53"/>
  <c r="N103" i="53"/>
  <c r="O103" i="53" s="1"/>
  <c r="L103" i="53"/>
  <c r="K103" i="53"/>
  <c r="U102" i="53"/>
  <c r="T102" i="53"/>
  <c r="U101" i="53"/>
  <c r="T101" i="53"/>
  <c r="S101" i="53"/>
  <c r="R101" i="53"/>
  <c r="Q101" i="53"/>
  <c r="P101" i="53"/>
  <c r="O101" i="53"/>
  <c r="N101" i="53"/>
  <c r="L101" i="53"/>
  <c r="K101" i="53"/>
  <c r="U100" i="53"/>
  <c r="T100" i="53"/>
  <c r="U99" i="53"/>
  <c r="T99" i="53"/>
  <c r="U98" i="53"/>
  <c r="T98" i="53"/>
  <c r="U97" i="53"/>
  <c r="T97" i="53"/>
  <c r="S97" i="53"/>
  <c r="R97" i="53"/>
  <c r="Q97" i="53"/>
  <c r="O97" i="53" s="1"/>
  <c r="P97" i="53"/>
  <c r="N97" i="53"/>
  <c r="L97" i="53"/>
  <c r="K97" i="53"/>
  <c r="K96" i="53"/>
  <c r="U94" i="53"/>
  <c r="T94" i="53"/>
  <c r="U93" i="53"/>
  <c r="T93" i="53"/>
  <c r="S93" i="53"/>
  <c r="R93" i="53"/>
  <c r="Q93" i="53"/>
  <c r="P93" i="53"/>
  <c r="O93" i="53"/>
  <c r="N93" i="53"/>
  <c r="L93" i="53"/>
  <c r="K93" i="53"/>
  <c r="U92" i="53"/>
  <c r="T92" i="53"/>
  <c r="S91" i="53"/>
  <c r="R91" i="53"/>
  <c r="U91" i="53" s="1"/>
  <c r="Q91" i="53"/>
  <c r="O91" i="53" s="1"/>
  <c r="P91" i="53"/>
  <c r="N91" i="53"/>
  <c r="L91" i="53"/>
  <c r="K91" i="53"/>
  <c r="U90" i="53"/>
  <c r="T90" i="53"/>
  <c r="U89" i="53"/>
  <c r="T89" i="53"/>
  <c r="S88" i="53"/>
  <c r="R88" i="53"/>
  <c r="U88" i="53" s="1"/>
  <c r="Q88" i="53"/>
  <c r="T88" i="53" s="1"/>
  <c r="P88" i="53"/>
  <c r="O88" i="53"/>
  <c r="N88" i="53"/>
  <c r="L88" i="53"/>
  <c r="K88" i="53"/>
  <c r="U87" i="53"/>
  <c r="T87" i="53"/>
  <c r="S86" i="53"/>
  <c r="R86" i="53"/>
  <c r="U86" i="53" s="1"/>
  <c r="Q86" i="53"/>
  <c r="T86" i="53" s="1"/>
  <c r="P86" i="53"/>
  <c r="N86" i="53"/>
  <c r="O86" i="53" s="1"/>
  <c r="L86" i="53"/>
  <c r="K86" i="53"/>
  <c r="K83" i="53" s="1"/>
  <c r="U85" i="53"/>
  <c r="T85" i="53"/>
  <c r="U84" i="53"/>
  <c r="S84" i="53"/>
  <c r="R84" i="53"/>
  <c r="Q84" i="53"/>
  <c r="T84" i="53" s="1"/>
  <c r="P84" i="53"/>
  <c r="N84" i="53"/>
  <c r="O84" i="53" s="1"/>
  <c r="L84" i="53"/>
  <c r="K84" i="53"/>
  <c r="U80" i="53"/>
  <c r="T80" i="53"/>
  <c r="U79" i="53"/>
  <c r="T79" i="53"/>
  <c r="S79" i="53"/>
  <c r="R79" i="53"/>
  <c r="Q79" i="53"/>
  <c r="P79" i="53"/>
  <c r="N79" i="53"/>
  <c r="O79" i="53" s="1"/>
  <c r="L79" i="53"/>
  <c r="K78" i="53"/>
  <c r="U76" i="53"/>
  <c r="T76" i="53"/>
  <c r="U75" i="53"/>
  <c r="T75" i="53"/>
  <c r="U74" i="53"/>
  <c r="T74" i="53"/>
  <c r="S74" i="53"/>
  <c r="R74" i="53"/>
  <c r="Q74" i="53"/>
  <c r="P74" i="53"/>
  <c r="N74" i="53"/>
  <c r="O74" i="53" s="1"/>
  <c r="L74" i="53"/>
  <c r="K74" i="53"/>
  <c r="K73" i="53"/>
  <c r="U72" i="53"/>
  <c r="T72" i="53"/>
  <c r="U71" i="53"/>
  <c r="T71" i="53"/>
  <c r="U70" i="53"/>
  <c r="S70" i="53"/>
  <c r="R70" i="53"/>
  <c r="Q70" i="53"/>
  <c r="T70" i="53" s="1"/>
  <c r="P70" i="53"/>
  <c r="N70" i="53"/>
  <c r="O70" i="53" s="1"/>
  <c r="L70" i="53"/>
  <c r="K70" i="53"/>
  <c r="K69" i="53"/>
  <c r="U67" i="53"/>
  <c r="T67" i="53"/>
  <c r="U66" i="53"/>
  <c r="T66" i="53"/>
  <c r="U65" i="53"/>
  <c r="T65" i="53"/>
  <c r="S64" i="53"/>
  <c r="R64" i="53"/>
  <c r="U64" i="53" s="1"/>
  <c r="Q64" i="53"/>
  <c r="T64" i="53" s="1"/>
  <c r="P64" i="53"/>
  <c r="N64" i="53"/>
  <c r="O64" i="53" s="1"/>
  <c r="L64" i="53"/>
  <c r="K64" i="53"/>
  <c r="K63" i="53" s="1"/>
  <c r="U61" i="53"/>
  <c r="T61" i="53"/>
  <c r="U60" i="53"/>
  <c r="T60" i="53"/>
  <c r="S59" i="53"/>
  <c r="R59" i="53"/>
  <c r="U59" i="53" s="1"/>
  <c r="Q59" i="53"/>
  <c r="T59" i="53" s="1"/>
  <c r="P59" i="53"/>
  <c r="N59" i="53"/>
  <c r="L59" i="53"/>
  <c r="K59" i="53"/>
  <c r="K58" i="53"/>
  <c r="U56" i="53"/>
  <c r="T56" i="53"/>
  <c r="U55" i="53"/>
  <c r="T55" i="53"/>
  <c r="S54" i="53"/>
  <c r="R54" i="53"/>
  <c r="U54" i="53" s="1"/>
  <c r="Q54" i="53"/>
  <c r="O54" i="53" s="1"/>
  <c r="P54" i="53"/>
  <c r="N54" i="53"/>
  <c r="L54" i="53"/>
  <c r="K54" i="53"/>
  <c r="U53" i="53"/>
  <c r="T53" i="53"/>
  <c r="U52" i="53"/>
  <c r="T52" i="53"/>
  <c r="S51" i="53"/>
  <c r="R51" i="53"/>
  <c r="U51" i="53" s="1"/>
  <c r="Q51" i="53"/>
  <c r="T51" i="53" s="1"/>
  <c r="P51" i="53"/>
  <c r="N51" i="53"/>
  <c r="O51" i="53" s="1"/>
  <c r="L51" i="53"/>
  <c r="K51" i="53"/>
  <c r="K50" i="53"/>
  <c r="U48" i="53"/>
  <c r="T48" i="53"/>
  <c r="U47" i="53"/>
  <c r="T47" i="53"/>
  <c r="S46" i="53"/>
  <c r="R46" i="53"/>
  <c r="U46" i="53" s="1"/>
  <c r="Q46" i="53"/>
  <c r="T46" i="53" s="1"/>
  <c r="P46" i="53"/>
  <c r="N46" i="53"/>
  <c r="O46" i="53" s="1"/>
  <c r="L46" i="53"/>
  <c r="K46" i="53"/>
  <c r="K45" i="53"/>
  <c r="U44" i="53"/>
  <c r="T44" i="53"/>
  <c r="U43" i="53"/>
  <c r="T43" i="53"/>
  <c r="S42" i="53"/>
  <c r="R42" i="53"/>
  <c r="U42" i="53" s="1"/>
  <c r="Q42" i="53"/>
  <c r="T42" i="53" s="1"/>
  <c r="P42" i="53"/>
  <c r="O42" i="53"/>
  <c r="N42" i="53"/>
  <c r="L42" i="53"/>
  <c r="K42" i="53"/>
  <c r="K41" i="53" s="1"/>
  <c r="U38" i="53"/>
  <c r="T38" i="53"/>
  <c r="U37" i="53"/>
  <c r="T37" i="53"/>
  <c r="S36" i="53"/>
  <c r="R36" i="53"/>
  <c r="U36" i="53" s="1"/>
  <c r="Q36" i="53"/>
  <c r="O36" i="53" s="1"/>
  <c r="P36" i="53"/>
  <c r="N36" i="53"/>
  <c r="L36" i="53"/>
  <c r="K36" i="53"/>
  <c r="K35" i="53" s="1"/>
  <c r="U31" i="53"/>
  <c r="T31" i="53"/>
  <c r="U30" i="53"/>
  <c r="T30" i="53"/>
  <c r="S29" i="53"/>
  <c r="R29" i="53"/>
  <c r="U29" i="53" s="1"/>
  <c r="Q29" i="53"/>
  <c r="O29" i="53" s="1"/>
  <c r="P29" i="53"/>
  <c r="N29" i="53"/>
  <c r="L29" i="53"/>
  <c r="K29" i="53"/>
  <c r="K28" i="53"/>
  <c r="U27" i="53"/>
  <c r="T27" i="53"/>
  <c r="U26" i="53"/>
  <c r="T26" i="53"/>
  <c r="S25" i="53"/>
  <c r="R25" i="53"/>
  <c r="U25" i="53" s="1"/>
  <c r="Q25" i="53"/>
  <c r="P25" i="53"/>
  <c r="N25" i="53"/>
  <c r="O25" i="53" s="1"/>
  <c r="L25" i="53"/>
  <c r="K25" i="53"/>
  <c r="U24" i="53"/>
  <c r="T24" i="53"/>
  <c r="S23" i="53"/>
  <c r="R23" i="53"/>
  <c r="U23" i="53" s="1"/>
  <c r="Q23" i="53"/>
  <c r="T23" i="53" s="1"/>
  <c r="P23" i="53"/>
  <c r="O23" i="53"/>
  <c r="N23" i="53"/>
  <c r="L23" i="53"/>
  <c r="K23" i="53"/>
  <c r="U22" i="53"/>
  <c r="T22" i="53"/>
  <c r="S21" i="53"/>
  <c r="R21" i="53"/>
  <c r="U21" i="53" s="1"/>
  <c r="Q21" i="53"/>
  <c r="T21" i="53" s="1"/>
  <c r="P21" i="53"/>
  <c r="N21" i="53"/>
  <c r="O21" i="53" s="1"/>
  <c r="L21" i="53"/>
  <c r="K21" i="53"/>
  <c r="K20" i="53" s="1"/>
  <c r="U17" i="53"/>
  <c r="T17" i="53"/>
  <c r="S16" i="53"/>
  <c r="R16" i="53"/>
  <c r="U16" i="53" s="1"/>
  <c r="Q16" i="53"/>
  <c r="T16" i="53" s="1"/>
  <c r="P16" i="53"/>
  <c r="N16" i="53"/>
  <c r="O16" i="53" s="1"/>
  <c r="K16" i="53"/>
  <c r="K15" i="53"/>
  <c r="U14" i="53"/>
  <c r="T14" i="53"/>
  <c r="U13" i="53"/>
  <c r="T13" i="53"/>
  <c r="U12" i="53"/>
  <c r="T12" i="53"/>
  <c r="S11" i="53"/>
  <c r="R11" i="53"/>
  <c r="Q11" i="53"/>
  <c r="P11" i="53"/>
  <c r="N11" i="53"/>
  <c r="O11" i="53" s="1"/>
  <c r="L11" i="53"/>
  <c r="K11" i="53"/>
  <c r="K10" i="53"/>
  <c r="T54" i="53" l="1"/>
  <c r="Q293" i="53"/>
  <c r="T11" i="53"/>
  <c r="T272" i="53"/>
  <c r="T245" i="53"/>
  <c r="O245" i="53"/>
  <c r="P293" i="53"/>
  <c r="T275" i="53"/>
  <c r="T122" i="53"/>
  <c r="O122" i="53"/>
  <c r="U241" i="53"/>
  <c r="T241" i="53"/>
  <c r="U118" i="53"/>
  <c r="T118" i="53"/>
  <c r="T165" i="53"/>
  <c r="U182" i="53"/>
  <c r="T182" i="53"/>
  <c r="T91" i="53"/>
  <c r="R293" i="53"/>
  <c r="U11" i="53"/>
  <c r="T156" i="53"/>
  <c r="S293" i="53"/>
  <c r="K261" i="53"/>
  <c r="T36" i="53"/>
  <c r="T149" i="53"/>
  <c r="T279" i="53"/>
  <c r="T25" i="53"/>
  <c r="T29" i="53"/>
  <c r="T204" i="53"/>
  <c r="T146" i="53"/>
  <c r="K198" i="53"/>
  <c r="U103" i="53"/>
  <c r="T103" i="53"/>
  <c r="T138" i="53"/>
  <c r="T192" i="53"/>
  <c r="O192" i="53"/>
  <c r="T265" i="53"/>
  <c r="K162" i="53"/>
  <c r="T178" i="53"/>
  <c r="O59" i="53"/>
  <c r="U125" i="53"/>
  <c r="T125" i="53"/>
  <c r="U212" i="53"/>
  <c r="T212" i="53"/>
  <c r="O259" i="53"/>
  <c r="O133" i="53"/>
  <c r="T176" i="53"/>
  <c r="E23" i="5" l="1"/>
  <c r="D23" i="5"/>
  <c r="C23" i="5"/>
  <c r="C70" i="52"/>
  <c r="U68" i="52"/>
  <c r="T68" i="52"/>
  <c r="U67" i="52"/>
  <c r="T67" i="52"/>
  <c r="S66" i="52"/>
  <c r="R66" i="52"/>
  <c r="Q66" i="52"/>
  <c r="T66" i="52" s="1"/>
  <c r="P66" i="52"/>
  <c r="N66" i="52"/>
  <c r="L66" i="52"/>
  <c r="K66" i="52"/>
  <c r="U63" i="52"/>
  <c r="T63" i="52"/>
  <c r="U62" i="52"/>
  <c r="T62" i="52"/>
  <c r="S61" i="52"/>
  <c r="R61" i="52"/>
  <c r="Q61" i="52"/>
  <c r="P61" i="52"/>
  <c r="N61" i="52"/>
  <c r="L61" i="52"/>
  <c r="K61" i="52"/>
  <c r="U59" i="52"/>
  <c r="T59" i="52"/>
  <c r="S58" i="52"/>
  <c r="R58" i="52"/>
  <c r="Q58" i="52"/>
  <c r="T58" i="52" s="1"/>
  <c r="P58" i="52"/>
  <c r="N58" i="52"/>
  <c r="L58" i="52"/>
  <c r="K58" i="52"/>
  <c r="U53" i="52"/>
  <c r="T53" i="52"/>
  <c r="S52" i="52"/>
  <c r="R52" i="52"/>
  <c r="U52" i="52" s="1"/>
  <c r="Q52" i="52"/>
  <c r="T52" i="52" s="1"/>
  <c r="P52" i="52"/>
  <c r="N52" i="52"/>
  <c r="L52" i="52"/>
  <c r="K52" i="52"/>
  <c r="U50" i="52"/>
  <c r="T50" i="52"/>
  <c r="U49" i="52"/>
  <c r="T49" i="52"/>
  <c r="S48" i="52"/>
  <c r="R48" i="52"/>
  <c r="Q48" i="52"/>
  <c r="P48" i="52"/>
  <c r="N48" i="52"/>
  <c r="L48" i="52"/>
  <c r="K48" i="52"/>
  <c r="U46" i="52"/>
  <c r="T46" i="52"/>
  <c r="U45" i="52"/>
  <c r="T45" i="52"/>
  <c r="S44" i="52"/>
  <c r="R44" i="52"/>
  <c r="Q44" i="52"/>
  <c r="P44" i="52"/>
  <c r="N44" i="52"/>
  <c r="L44" i="52"/>
  <c r="K44" i="52"/>
  <c r="U42" i="52"/>
  <c r="T42" i="52"/>
  <c r="U41" i="52"/>
  <c r="T41" i="52"/>
  <c r="S40" i="52"/>
  <c r="R40" i="52"/>
  <c r="Q40" i="52"/>
  <c r="P40" i="52"/>
  <c r="N40" i="52"/>
  <c r="L40" i="52"/>
  <c r="K40" i="52"/>
  <c r="U35" i="52"/>
  <c r="T35" i="52"/>
  <c r="U34" i="52"/>
  <c r="T34" i="52"/>
  <c r="S33" i="52"/>
  <c r="R33" i="52"/>
  <c r="Q33" i="52"/>
  <c r="P33" i="52"/>
  <c r="N33" i="52"/>
  <c r="O33" i="52" s="1"/>
  <c r="L33" i="52"/>
  <c r="K33" i="52"/>
  <c r="U32" i="52"/>
  <c r="T32" i="52"/>
  <c r="U31" i="52"/>
  <c r="T31" i="52"/>
  <c r="U30" i="52"/>
  <c r="T30" i="52"/>
  <c r="S29" i="52"/>
  <c r="R29" i="52"/>
  <c r="U29" i="52" s="1"/>
  <c r="Q29" i="52"/>
  <c r="P29" i="52"/>
  <c r="N29" i="52"/>
  <c r="L29" i="52"/>
  <c r="K29" i="52"/>
  <c r="U26" i="52"/>
  <c r="T26" i="52"/>
  <c r="U25" i="52"/>
  <c r="T25" i="52"/>
  <c r="S24" i="52"/>
  <c r="R24" i="52"/>
  <c r="Q24" i="52"/>
  <c r="T24" i="52" s="1"/>
  <c r="P24" i="52"/>
  <c r="N24" i="52"/>
  <c r="L24" i="52"/>
  <c r="K24" i="52"/>
  <c r="U22" i="52"/>
  <c r="T22" i="52"/>
  <c r="U21" i="52"/>
  <c r="T21" i="52"/>
  <c r="N21" i="52"/>
  <c r="N20" i="52" s="1"/>
  <c r="S20" i="52"/>
  <c r="R20" i="52"/>
  <c r="U20" i="52" s="1"/>
  <c r="Q20" i="52"/>
  <c r="P20" i="52"/>
  <c r="L20" i="52"/>
  <c r="K20" i="52"/>
  <c r="U18" i="52"/>
  <c r="T18" i="52"/>
  <c r="U17" i="52"/>
  <c r="T17" i="52"/>
  <c r="S16" i="52"/>
  <c r="R16" i="52"/>
  <c r="Q16" i="52"/>
  <c r="P16" i="52"/>
  <c r="N16" i="52"/>
  <c r="L16" i="52"/>
  <c r="K16" i="52"/>
  <c r="U14" i="52"/>
  <c r="T14" i="52"/>
  <c r="U13" i="52"/>
  <c r="T13" i="52"/>
  <c r="U12" i="52"/>
  <c r="T12" i="52"/>
  <c r="S11" i="52"/>
  <c r="R11" i="52"/>
  <c r="Q11" i="52"/>
  <c r="P11" i="52"/>
  <c r="N11" i="52"/>
  <c r="L11" i="52"/>
  <c r="K11" i="52"/>
  <c r="E22" i="5"/>
  <c r="D22" i="5"/>
  <c r="C22" i="5"/>
  <c r="C224" i="51"/>
  <c r="U222" i="51"/>
  <c r="T222" i="51"/>
  <c r="U221" i="51"/>
  <c r="T221" i="51"/>
  <c r="S220" i="51"/>
  <c r="R220" i="51"/>
  <c r="U220" i="51" s="1"/>
  <c r="Q220" i="51"/>
  <c r="T220" i="51" s="1"/>
  <c r="P220" i="51"/>
  <c r="N220" i="51"/>
  <c r="O220" i="51" s="1"/>
  <c r="U219" i="51"/>
  <c r="T219" i="51"/>
  <c r="U218" i="51"/>
  <c r="T218" i="51"/>
  <c r="U217" i="51"/>
  <c r="T217" i="51"/>
  <c r="S216" i="51"/>
  <c r="R216" i="51"/>
  <c r="U216" i="51" s="1"/>
  <c r="Q216" i="51"/>
  <c r="O216" i="51" s="1"/>
  <c r="P216" i="51"/>
  <c r="N216" i="51"/>
  <c r="U213" i="51"/>
  <c r="T213" i="51"/>
  <c r="T212" i="51"/>
  <c r="S212" i="51"/>
  <c r="U212" i="51" s="1"/>
  <c r="R212" i="51"/>
  <c r="Q212" i="51"/>
  <c r="O212" i="51" s="1"/>
  <c r="P212" i="51"/>
  <c r="N212" i="51"/>
  <c r="U210" i="51"/>
  <c r="T210" i="51"/>
  <c r="U209" i="51"/>
  <c r="T209" i="51"/>
  <c r="S208" i="51"/>
  <c r="R208" i="51"/>
  <c r="U208" i="51" s="1"/>
  <c r="Q208" i="51"/>
  <c r="T208" i="51" s="1"/>
  <c r="P208" i="51"/>
  <c r="N208" i="51"/>
  <c r="U203" i="51"/>
  <c r="T203" i="51"/>
  <c r="U202" i="51"/>
  <c r="T202" i="51"/>
  <c r="U201" i="51"/>
  <c r="S201" i="51"/>
  <c r="R201" i="51"/>
  <c r="Q201" i="51"/>
  <c r="T201" i="51" s="1"/>
  <c r="P201" i="51"/>
  <c r="N201" i="51"/>
  <c r="O201" i="51" s="1"/>
  <c r="U199" i="51"/>
  <c r="T199" i="51"/>
  <c r="U198" i="51"/>
  <c r="T198" i="51"/>
  <c r="S197" i="51"/>
  <c r="R197" i="51"/>
  <c r="T197" i="51" s="1"/>
  <c r="Q197" i="51"/>
  <c r="P197" i="51"/>
  <c r="N197" i="51"/>
  <c r="O197" i="51" s="1"/>
  <c r="U193" i="51"/>
  <c r="T193" i="51"/>
  <c r="U192" i="51"/>
  <c r="T192" i="51"/>
  <c r="S191" i="51"/>
  <c r="R191" i="51"/>
  <c r="U191" i="51" s="1"/>
  <c r="Q191" i="51"/>
  <c r="T191" i="51" s="1"/>
  <c r="P191" i="51"/>
  <c r="O191" i="51"/>
  <c r="N191" i="51"/>
  <c r="U189" i="51"/>
  <c r="T189" i="51"/>
  <c r="S188" i="51"/>
  <c r="R188" i="51"/>
  <c r="U188" i="51" s="1"/>
  <c r="Q188" i="51"/>
  <c r="O188" i="51" s="1"/>
  <c r="P188" i="51"/>
  <c r="N188" i="51"/>
  <c r="U186" i="51"/>
  <c r="T186" i="51"/>
  <c r="U185" i="51"/>
  <c r="T185" i="51"/>
  <c r="S184" i="51"/>
  <c r="R184" i="51"/>
  <c r="U184" i="51" s="1"/>
  <c r="Q184" i="51"/>
  <c r="T184" i="51" s="1"/>
  <c r="P184" i="51"/>
  <c r="O184" i="51"/>
  <c r="N184" i="51"/>
  <c r="U183" i="51"/>
  <c r="T183" i="51"/>
  <c r="S182" i="51"/>
  <c r="R182" i="51"/>
  <c r="U182" i="51" s="1"/>
  <c r="Q182" i="51"/>
  <c r="O182" i="51" s="1"/>
  <c r="P182" i="51"/>
  <c r="N182" i="51"/>
  <c r="U180" i="51"/>
  <c r="T180" i="51"/>
  <c r="U179" i="51"/>
  <c r="T179" i="51"/>
  <c r="U178" i="51"/>
  <c r="T178" i="51"/>
  <c r="S178" i="51"/>
  <c r="R178" i="51"/>
  <c r="Q178" i="51"/>
  <c r="P178" i="51"/>
  <c r="N178" i="51"/>
  <c r="O178" i="51" s="1"/>
  <c r="U177" i="51"/>
  <c r="T177" i="51"/>
  <c r="U176" i="51"/>
  <c r="T176" i="51"/>
  <c r="S175" i="51"/>
  <c r="R175" i="51"/>
  <c r="U175" i="51" s="1"/>
  <c r="Q175" i="51"/>
  <c r="O175" i="51" s="1"/>
  <c r="P175" i="51"/>
  <c r="N175" i="51"/>
  <c r="U173" i="51"/>
  <c r="T173" i="51"/>
  <c r="U172" i="51"/>
  <c r="T172" i="51"/>
  <c r="S171" i="51"/>
  <c r="R171" i="51"/>
  <c r="U171" i="51" s="1"/>
  <c r="Q171" i="51"/>
  <c r="T171" i="51" s="1"/>
  <c r="P171" i="51"/>
  <c r="O171" i="51"/>
  <c r="N171" i="51"/>
  <c r="U168" i="51"/>
  <c r="T168" i="51"/>
  <c r="U167" i="51"/>
  <c r="T167" i="51"/>
  <c r="U166" i="51"/>
  <c r="T166" i="51"/>
  <c r="S166" i="51"/>
  <c r="R166" i="51"/>
  <c r="Q166" i="51"/>
  <c r="P166" i="51"/>
  <c r="N166" i="51"/>
  <c r="O166" i="51" s="1"/>
  <c r="U163" i="51"/>
  <c r="T163" i="51"/>
  <c r="U162" i="51"/>
  <c r="T162" i="51"/>
  <c r="S161" i="51"/>
  <c r="R161" i="51"/>
  <c r="U161" i="51" s="1"/>
  <c r="Q161" i="51"/>
  <c r="O161" i="51" s="1"/>
  <c r="P161" i="51"/>
  <c r="N161" i="51"/>
  <c r="U159" i="51"/>
  <c r="T159" i="51"/>
  <c r="U158" i="51"/>
  <c r="T158" i="51"/>
  <c r="U157" i="51"/>
  <c r="T157" i="51"/>
  <c r="S157" i="51"/>
  <c r="R157" i="51"/>
  <c r="Q157" i="51"/>
  <c r="P157" i="51"/>
  <c r="N157" i="51"/>
  <c r="O157" i="51" s="1"/>
  <c r="U155" i="51"/>
  <c r="T155" i="51"/>
  <c r="U154" i="51"/>
  <c r="T154" i="51"/>
  <c r="T153" i="51"/>
  <c r="S153" i="51"/>
  <c r="U153" i="51" s="1"/>
  <c r="R153" i="51"/>
  <c r="Q153" i="51"/>
  <c r="O153" i="51" s="1"/>
  <c r="P153" i="51"/>
  <c r="N153" i="51"/>
  <c r="U150" i="51"/>
  <c r="T150" i="51"/>
  <c r="U149" i="51"/>
  <c r="T149" i="51"/>
  <c r="S148" i="51"/>
  <c r="R148" i="51"/>
  <c r="U148" i="51" s="1"/>
  <c r="Q148" i="51"/>
  <c r="O148" i="51" s="1"/>
  <c r="P148" i="51"/>
  <c r="N148" i="51"/>
  <c r="U146" i="51"/>
  <c r="T146" i="51"/>
  <c r="U145" i="51"/>
  <c r="T145" i="51"/>
  <c r="U144" i="51"/>
  <c r="T144" i="51"/>
  <c r="S143" i="51"/>
  <c r="R143" i="51"/>
  <c r="U143" i="51" s="1"/>
  <c r="Q143" i="51"/>
  <c r="T143" i="51" s="1"/>
  <c r="P143" i="51"/>
  <c r="O143" i="51"/>
  <c r="N143" i="51"/>
  <c r="U141" i="51"/>
  <c r="T141" i="51"/>
  <c r="S140" i="51"/>
  <c r="R140" i="51"/>
  <c r="T140" i="51" s="1"/>
  <c r="Q140" i="51"/>
  <c r="P140" i="51"/>
  <c r="N140" i="51"/>
  <c r="O140" i="51" s="1"/>
  <c r="U137" i="51"/>
  <c r="T137" i="51"/>
  <c r="U136" i="51"/>
  <c r="T136" i="51"/>
  <c r="U135" i="51"/>
  <c r="S135" i="51"/>
  <c r="R135" i="51"/>
  <c r="Q135" i="51"/>
  <c r="T135" i="51" s="1"/>
  <c r="P135" i="51"/>
  <c r="O135" i="51"/>
  <c r="N135" i="51"/>
  <c r="U133" i="51"/>
  <c r="T133" i="51"/>
  <c r="S132" i="51"/>
  <c r="R132" i="51"/>
  <c r="T132" i="51" s="1"/>
  <c r="Q132" i="51"/>
  <c r="O132" i="51" s="1"/>
  <c r="P132" i="51"/>
  <c r="N132" i="51"/>
  <c r="U131" i="51"/>
  <c r="T131" i="51"/>
  <c r="U130" i="51"/>
  <c r="T130" i="51"/>
  <c r="S129" i="51"/>
  <c r="R129" i="51"/>
  <c r="U129" i="51" s="1"/>
  <c r="Q129" i="51"/>
  <c r="T129" i="51" s="1"/>
  <c r="P129" i="51"/>
  <c r="N129" i="51"/>
  <c r="O129" i="51" s="1"/>
  <c r="U126" i="51"/>
  <c r="T126" i="51"/>
  <c r="S125" i="51"/>
  <c r="R125" i="51"/>
  <c r="U125" i="51" s="1"/>
  <c r="Q125" i="51"/>
  <c r="O125" i="51" s="1"/>
  <c r="P125" i="51"/>
  <c r="N125" i="51"/>
  <c r="U123" i="51"/>
  <c r="T123" i="51"/>
  <c r="U122" i="51"/>
  <c r="T122" i="51"/>
  <c r="U121" i="51"/>
  <c r="T121" i="51"/>
  <c r="S121" i="51"/>
  <c r="R121" i="51"/>
  <c r="Q121" i="51"/>
  <c r="P121" i="51"/>
  <c r="N121" i="51"/>
  <c r="O121" i="51" s="1"/>
  <c r="U119" i="51"/>
  <c r="T119" i="51"/>
  <c r="S118" i="51"/>
  <c r="R118" i="51"/>
  <c r="U118" i="51" s="1"/>
  <c r="Q118" i="51"/>
  <c r="T118" i="51" s="1"/>
  <c r="P118" i="51"/>
  <c r="N118" i="51"/>
  <c r="U116" i="51"/>
  <c r="T116" i="51"/>
  <c r="U115" i="51"/>
  <c r="T115" i="51"/>
  <c r="S115" i="51"/>
  <c r="R115" i="51"/>
  <c r="Q115" i="51"/>
  <c r="P115" i="51"/>
  <c r="N115" i="51"/>
  <c r="O115" i="51" s="1"/>
  <c r="U112" i="51"/>
  <c r="T112" i="51"/>
  <c r="U111" i="51"/>
  <c r="T111" i="51"/>
  <c r="S110" i="51"/>
  <c r="R110" i="51"/>
  <c r="U110" i="51" s="1"/>
  <c r="Q110" i="51"/>
  <c r="O110" i="51" s="1"/>
  <c r="P110" i="51"/>
  <c r="N110" i="51"/>
  <c r="U108" i="51"/>
  <c r="T108" i="51"/>
  <c r="U107" i="51"/>
  <c r="T107" i="51"/>
  <c r="T106" i="51"/>
  <c r="S106" i="51"/>
  <c r="U106" i="51" s="1"/>
  <c r="R106" i="51"/>
  <c r="Q106" i="51"/>
  <c r="P106" i="51"/>
  <c r="N106" i="51"/>
  <c r="O106" i="51" s="1"/>
  <c r="U104" i="51"/>
  <c r="T104" i="51"/>
  <c r="U103" i="51"/>
  <c r="T103" i="51"/>
  <c r="T102" i="51"/>
  <c r="S102" i="51"/>
  <c r="U102" i="51" s="1"/>
  <c r="R102" i="51"/>
  <c r="Q102" i="51"/>
  <c r="O102" i="51" s="1"/>
  <c r="P102" i="51"/>
  <c r="N102" i="51"/>
  <c r="U99" i="51"/>
  <c r="T99" i="51"/>
  <c r="U98" i="51"/>
  <c r="T98" i="51"/>
  <c r="S97" i="51"/>
  <c r="R97" i="51"/>
  <c r="U97" i="51" s="1"/>
  <c r="Q97" i="51"/>
  <c r="O97" i="51" s="1"/>
  <c r="P97" i="51"/>
  <c r="N97" i="51"/>
  <c r="U95" i="51"/>
  <c r="T95" i="51"/>
  <c r="U94" i="51"/>
  <c r="T94" i="51"/>
  <c r="U93" i="51"/>
  <c r="S93" i="51"/>
  <c r="R93" i="51"/>
  <c r="Q93" i="51"/>
  <c r="T93" i="51" s="1"/>
  <c r="P93" i="51"/>
  <c r="N93" i="51"/>
  <c r="O93" i="51" s="1"/>
  <c r="U90" i="51"/>
  <c r="T90" i="51"/>
  <c r="S89" i="51"/>
  <c r="R89" i="51"/>
  <c r="U89" i="51" s="1"/>
  <c r="Q89" i="51"/>
  <c r="O89" i="51" s="1"/>
  <c r="P89" i="51"/>
  <c r="N89" i="51"/>
  <c r="U87" i="51"/>
  <c r="T87" i="51"/>
  <c r="U86" i="51"/>
  <c r="T86" i="51"/>
  <c r="U85" i="51"/>
  <c r="T85" i="51"/>
  <c r="S85" i="51"/>
  <c r="R85" i="51"/>
  <c r="Q85" i="51"/>
  <c r="P85" i="51"/>
  <c r="N85" i="51"/>
  <c r="O85" i="51" s="1"/>
  <c r="U83" i="51"/>
  <c r="T83" i="51"/>
  <c r="U82" i="51"/>
  <c r="T82" i="51"/>
  <c r="U81" i="51"/>
  <c r="T81" i="51"/>
  <c r="U80" i="51"/>
  <c r="T80" i="51"/>
  <c r="S80" i="51"/>
  <c r="R80" i="51"/>
  <c r="Q80" i="51"/>
  <c r="P80" i="51"/>
  <c r="N80" i="51"/>
  <c r="O80" i="51" s="1"/>
  <c r="U78" i="51"/>
  <c r="T78" i="51"/>
  <c r="S77" i="51"/>
  <c r="R77" i="51"/>
  <c r="U77" i="51" s="1"/>
  <c r="Q77" i="51"/>
  <c r="T77" i="51" s="1"/>
  <c r="P77" i="51"/>
  <c r="O77" i="51"/>
  <c r="N77" i="51"/>
  <c r="U75" i="51"/>
  <c r="T75" i="51"/>
  <c r="S74" i="51"/>
  <c r="R74" i="51"/>
  <c r="T74" i="51" s="1"/>
  <c r="Q74" i="51"/>
  <c r="P74" i="51"/>
  <c r="N74" i="51"/>
  <c r="O74" i="51" s="1"/>
  <c r="U70" i="51"/>
  <c r="T70" i="51"/>
  <c r="U69" i="51"/>
  <c r="T69" i="51"/>
  <c r="S69" i="51"/>
  <c r="R69" i="51"/>
  <c r="Q69" i="51"/>
  <c r="P69" i="51"/>
  <c r="N69" i="51"/>
  <c r="O69" i="51" s="1"/>
  <c r="U67" i="51"/>
  <c r="T67" i="51"/>
  <c r="S66" i="51"/>
  <c r="R66" i="51"/>
  <c r="U66" i="51" s="1"/>
  <c r="Q66" i="51"/>
  <c r="O66" i="51" s="1"/>
  <c r="P66" i="51"/>
  <c r="N66" i="51"/>
  <c r="U64" i="51"/>
  <c r="T64" i="51"/>
  <c r="U63" i="51"/>
  <c r="T63" i="51"/>
  <c r="U62" i="51"/>
  <c r="S62" i="51"/>
  <c r="R62" i="51"/>
  <c r="Q62" i="51"/>
  <c r="T62" i="51" s="1"/>
  <c r="P62" i="51"/>
  <c r="N62" i="51"/>
  <c r="O62" i="51" s="1"/>
  <c r="U60" i="51"/>
  <c r="T60" i="51"/>
  <c r="S59" i="51"/>
  <c r="R59" i="51"/>
  <c r="U59" i="51" s="1"/>
  <c r="Q59" i="51"/>
  <c r="O59" i="51" s="1"/>
  <c r="P59" i="51"/>
  <c r="N59" i="51"/>
  <c r="U57" i="51"/>
  <c r="T57" i="51"/>
  <c r="O57" i="51"/>
  <c r="U56" i="51"/>
  <c r="T56" i="51"/>
  <c r="S56" i="51"/>
  <c r="R56" i="51"/>
  <c r="Q56" i="51"/>
  <c r="P56" i="51"/>
  <c r="N56" i="51"/>
  <c r="U54" i="51"/>
  <c r="T54" i="51"/>
  <c r="U53" i="51"/>
  <c r="T53" i="51"/>
  <c r="S52" i="51"/>
  <c r="R52" i="51"/>
  <c r="U52" i="51" s="1"/>
  <c r="Q52" i="51"/>
  <c r="O52" i="51" s="1"/>
  <c r="P52" i="51"/>
  <c r="N52" i="51"/>
  <c r="U50" i="51"/>
  <c r="T50" i="51"/>
  <c r="U49" i="51"/>
  <c r="T49" i="51"/>
  <c r="U48" i="51"/>
  <c r="S48" i="51"/>
  <c r="R48" i="51"/>
  <c r="Q48" i="51"/>
  <c r="T48" i="51" s="1"/>
  <c r="P48" i="51"/>
  <c r="N48" i="51"/>
  <c r="O48" i="51" s="1"/>
  <c r="U46" i="51"/>
  <c r="T46" i="51"/>
  <c r="S45" i="51"/>
  <c r="R45" i="51"/>
  <c r="U45" i="51" s="1"/>
  <c r="Q45" i="51"/>
  <c r="O45" i="51" s="1"/>
  <c r="P45" i="51"/>
  <c r="N45" i="51"/>
  <c r="U43" i="51"/>
  <c r="T43" i="51"/>
  <c r="U42" i="51"/>
  <c r="T42" i="51"/>
  <c r="U41" i="51"/>
  <c r="T41" i="51"/>
  <c r="S41" i="51"/>
  <c r="R41" i="51"/>
  <c r="Q41" i="51"/>
  <c r="P41" i="51"/>
  <c r="N41" i="51"/>
  <c r="O41" i="51" s="1"/>
  <c r="U39" i="51"/>
  <c r="T39" i="51"/>
  <c r="S38" i="51"/>
  <c r="R38" i="51"/>
  <c r="U38" i="51" s="1"/>
  <c r="Q38" i="51"/>
  <c r="O38" i="51" s="1"/>
  <c r="P38" i="51"/>
  <c r="N38" i="51"/>
  <c r="U36" i="51"/>
  <c r="T36" i="51"/>
  <c r="U35" i="51"/>
  <c r="T35" i="51"/>
  <c r="U34" i="51"/>
  <c r="S34" i="51"/>
  <c r="R34" i="51"/>
  <c r="Q34" i="51"/>
  <c r="T34" i="51" s="1"/>
  <c r="P34" i="51"/>
  <c r="N34" i="51"/>
  <c r="O34" i="51" s="1"/>
  <c r="U32" i="51"/>
  <c r="T32" i="51"/>
  <c r="U31" i="51"/>
  <c r="T31" i="51"/>
  <c r="S30" i="51"/>
  <c r="R30" i="51"/>
  <c r="T30" i="51" s="1"/>
  <c r="Q30" i="51"/>
  <c r="P30" i="51"/>
  <c r="N30" i="51"/>
  <c r="O30" i="51" s="1"/>
  <c r="U28" i="51"/>
  <c r="T28" i="51"/>
  <c r="U27" i="51"/>
  <c r="T27" i="51"/>
  <c r="U26" i="51"/>
  <c r="S26" i="51"/>
  <c r="R26" i="51"/>
  <c r="Q26" i="51"/>
  <c r="T26" i="51" s="1"/>
  <c r="P26" i="51"/>
  <c r="O26" i="51"/>
  <c r="N26" i="51"/>
  <c r="U24" i="51"/>
  <c r="T24" i="51"/>
  <c r="U23" i="51"/>
  <c r="T23" i="51"/>
  <c r="U22" i="51"/>
  <c r="T22" i="51"/>
  <c r="S22" i="51"/>
  <c r="R22" i="51"/>
  <c r="Q22" i="51"/>
  <c r="P22" i="51"/>
  <c r="N22" i="51"/>
  <c r="O22" i="51" s="1"/>
  <c r="U19" i="51"/>
  <c r="T19" i="51"/>
  <c r="S18" i="51"/>
  <c r="S224" i="51" s="1"/>
  <c r="R18" i="51"/>
  <c r="U18" i="51" s="1"/>
  <c r="Q18" i="51"/>
  <c r="T18" i="51" s="1"/>
  <c r="P18" i="51"/>
  <c r="P224" i="51" s="1"/>
  <c r="O18" i="51"/>
  <c r="N18" i="51"/>
  <c r="U13" i="51"/>
  <c r="T13" i="51"/>
  <c r="U12" i="51"/>
  <c r="T12" i="51"/>
  <c r="U11" i="51"/>
  <c r="T11" i="51"/>
  <c r="S11" i="51"/>
  <c r="R11" i="51"/>
  <c r="Q11" i="51"/>
  <c r="P11" i="51"/>
  <c r="N11" i="51"/>
  <c r="O11" i="51" s="1"/>
  <c r="U48" i="52" l="1"/>
  <c r="O29" i="52"/>
  <c r="U11" i="52"/>
  <c r="O61" i="52"/>
  <c r="O44" i="52"/>
  <c r="U16" i="52"/>
  <c r="T33" i="52"/>
  <c r="T11" i="52"/>
  <c r="U33" i="52"/>
  <c r="O48" i="52"/>
  <c r="O20" i="52"/>
  <c r="O59" i="52"/>
  <c r="U66" i="52"/>
  <c r="O24" i="52"/>
  <c r="P70" i="52"/>
  <c r="U24" i="52"/>
  <c r="T29" i="52"/>
  <c r="T48" i="52"/>
  <c r="T61" i="52"/>
  <c r="O67" i="52"/>
  <c r="T20" i="52"/>
  <c r="T44" i="52"/>
  <c r="U61" i="52"/>
  <c r="U44" i="52"/>
  <c r="O16" i="52"/>
  <c r="O40" i="52"/>
  <c r="U40" i="52"/>
  <c r="S70" i="52"/>
  <c r="U58" i="52"/>
  <c r="O11" i="52"/>
  <c r="G70" i="52" s="1"/>
  <c r="T16" i="52"/>
  <c r="T40" i="52"/>
  <c r="Q70" i="52"/>
  <c r="O53" i="52"/>
  <c r="R70" i="52"/>
  <c r="O224" i="51"/>
  <c r="G224" i="51"/>
  <c r="O225" i="51"/>
  <c r="T188" i="51"/>
  <c r="U132" i="51"/>
  <c r="T66" i="51"/>
  <c r="T97" i="51"/>
  <c r="U30" i="51"/>
  <c r="T110" i="51"/>
  <c r="T125" i="51"/>
  <c r="U140" i="51"/>
  <c r="T161" i="51"/>
  <c r="T182" i="51"/>
  <c r="U197" i="51"/>
  <c r="T45" i="51"/>
  <c r="T59" i="51"/>
  <c r="T89" i="51"/>
  <c r="T216" i="51"/>
  <c r="U74" i="51"/>
  <c r="T175" i="51"/>
  <c r="T52" i="51"/>
  <c r="T148" i="51"/>
  <c r="O118" i="51"/>
  <c r="T38" i="51"/>
  <c r="O208" i="51"/>
  <c r="Q224" i="51"/>
  <c r="R224" i="51"/>
  <c r="U224" i="51" s="1"/>
  <c r="O71" i="52" l="1"/>
  <c r="U70" i="52"/>
  <c r="O70" i="52"/>
  <c r="T70" i="52"/>
  <c r="T224" i="51"/>
  <c r="E21" i="5" l="1"/>
  <c r="D21" i="5"/>
  <c r="C21" i="5"/>
  <c r="U223" i="50"/>
  <c r="T223" i="50"/>
  <c r="C224" i="50"/>
  <c r="C223" i="50"/>
  <c r="U221" i="50"/>
  <c r="T221" i="50"/>
  <c r="U220" i="50"/>
  <c r="T220" i="50"/>
  <c r="U219" i="50"/>
  <c r="T219" i="50"/>
  <c r="U218" i="50"/>
  <c r="T218" i="50"/>
  <c r="U217" i="50"/>
  <c r="T217" i="50"/>
  <c r="U216" i="50"/>
  <c r="T216" i="50"/>
  <c r="U215" i="50"/>
  <c r="T215" i="50"/>
  <c r="S214" i="50"/>
  <c r="R214" i="50"/>
  <c r="Q214" i="50"/>
  <c r="P214" i="50"/>
  <c r="N214" i="50"/>
  <c r="O214" i="50" s="1"/>
  <c r="L214" i="50"/>
  <c r="K214" i="50"/>
  <c r="U209" i="50"/>
  <c r="T209" i="50"/>
  <c r="S208" i="50"/>
  <c r="R208" i="50"/>
  <c r="U208" i="50" s="1"/>
  <c r="Q208" i="50"/>
  <c r="T208" i="50" s="1"/>
  <c r="P208" i="50"/>
  <c r="N208" i="50"/>
  <c r="O208" i="50" s="1"/>
  <c r="L208" i="50"/>
  <c r="K208" i="50"/>
  <c r="U206" i="50"/>
  <c r="T206" i="50"/>
  <c r="U205" i="50"/>
  <c r="T205" i="50"/>
  <c r="U204" i="50"/>
  <c r="T204" i="50"/>
  <c r="U203" i="50"/>
  <c r="T203" i="50"/>
  <c r="U202" i="50"/>
  <c r="T202" i="50"/>
  <c r="S201" i="50"/>
  <c r="R201" i="50"/>
  <c r="U201" i="50" s="1"/>
  <c r="Q201" i="50"/>
  <c r="T201" i="50" s="1"/>
  <c r="P201" i="50"/>
  <c r="N201" i="50"/>
  <c r="O201" i="50" s="1"/>
  <c r="L201" i="50"/>
  <c r="K201" i="50"/>
  <c r="U199" i="50"/>
  <c r="T199" i="50"/>
  <c r="U198" i="50"/>
  <c r="T198" i="50"/>
  <c r="U197" i="50"/>
  <c r="T197" i="50"/>
  <c r="U196" i="50"/>
  <c r="T196" i="50"/>
  <c r="S195" i="50"/>
  <c r="R195" i="50"/>
  <c r="U195" i="50" s="1"/>
  <c r="Q195" i="50"/>
  <c r="P195" i="50"/>
  <c r="N195" i="50"/>
  <c r="L195" i="50"/>
  <c r="K195" i="50"/>
  <c r="U193" i="50"/>
  <c r="T193" i="50"/>
  <c r="U192" i="50"/>
  <c r="T192" i="50"/>
  <c r="U191" i="50"/>
  <c r="T191" i="50"/>
  <c r="S190" i="50"/>
  <c r="R190" i="50"/>
  <c r="U190" i="50" s="1"/>
  <c r="Q190" i="50"/>
  <c r="P190" i="50"/>
  <c r="N190" i="50"/>
  <c r="L190" i="50"/>
  <c r="K190" i="50"/>
  <c r="U188" i="50"/>
  <c r="T188" i="50"/>
  <c r="S187" i="50"/>
  <c r="R187" i="50"/>
  <c r="U187" i="50" s="1"/>
  <c r="Q187" i="50"/>
  <c r="P187" i="50"/>
  <c r="N187" i="50"/>
  <c r="O187" i="50" s="1"/>
  <c r="L187" i="50"/>
  <c r="K187" i="50"/>
  <c r="U186" i="50"/>
  <c r="T186" i="50"/>
  <c r="U185" i="50"/>
  <c r="T185" i="50"/>
  <c r="U184" i="50"/>
  <c r="T184" i="50"/>
  <c r="U183" i="50"/>
  <c r="T183" i="50"/>
  <c r="U182" i="50"/>
  <c r="T182" i="50"/>
  <c r="U181" i="50"/>
  <c r="T181" i="50"/>
  <c r="S180" i="50"/>
  <c r="R180" i="50"/>
  <c r="U180" i="50" s="1"/>
  <c r="Q180" i="50"/>
  <c r="P180" i="50"/>
  <c r="N180" i="50"/>
  <c r="L180" i="50"/>
  <c r="K180" i="50"/>
  <c r="U177" i="50"/>
  <c r="T177" i="50"/>
  <c r="S176" i="50"/>
  <c r="R176" i="50"/>
  <c r="U176" i="50" s="1"/>
  <c r="Q176" i="50"/>
  <c r="T176" i="50" s="1"/>
  <c r="P176" i="50"/>
  <c r="N176" i="50"/>
  <c r="O176" i="50" s="1"/>
  <c r="L176" i="50"/>
  <c r="K176" i="50"/>
  <c r="U174" i="50"/>
  <c r="T174" i="50"/>
  <c r="U173" i="50"/>
  <c r="T173" i="50"/>
  <c r="U172" i="50"/>
  <c r="T172" i="50"/>
  <c r="U171" i="50"/>
  <c r="T171" i="50"/>
  <c r="U170" i="50"/>
  <c r="T170" i="50"/>
  <c r="S169" i="50"/>
  <c r="R169" i="50"/>
  <c r="U169" i="50" s="1"/>
  <c r="Q169" i="50"/>
  <c r="P169" i="50"/>
  <c r="N169" i="50"/>
  <c r="O169" i="50" s="1"/>
  <c r="U168" i="50"/>
  <c r="T168" i="50"/>
  <c r="U167" i="50"/>
  <c r="T167" i="50"/>
  <c r="S166" i="50"/>
  <c r="R166" i="50"/>
  <c r="U166" i="50" s="1"/>
  <c r="Q166" i="50"/>
  <c r="T166" i="50" s="1"/>
  <c r="P166" i="50"/>
  <c r="N166" i="50"/>
  <c r="O166" i="50" s="1"/>
  <c r="L166" i="50"/>
  <c r="K166" i="50"/>
  <c r="U164" i="50"/>
  <c r="T164" i="50"/>
  <c r="U163" i="50"/>
  <c r="T163" i="50"/>
  <c r="U162" i="50"/>
  <c r="T162" i="50"/>
  <c r="S161" i="50"/>
  <c r="R161" i="50"/>
  <c r="U161" i="50" s="1"/>
  <c r="Q161" i="50"/>
  <c r="T161" i="50" s="1"/>
  <c r="P161" i="50"/>
  <c r="N161" i="50"/>
  <c r="L161" i="50"/>
  <c r="K161" i="50"/>
  <c r="U159" i="50"/>
  <c r="T159" i="50"/>
  <c r="U158" i="50"/>
  <c r="T158" i="50"/>
  <c r="S157" i="50"/>
  <c r="R157" i="50"/>
  <c r="U157" i="50" s="1"/>
  <c r="Q157" i="50"/>
  <c r="T157" i="50" s="1"/>
  <c r="P157" i="50"/>
  <c r="N157" i="50"/>
  <c r="L157" i="50"/>
  <c r="K157" i="50"/>
  <c r="U155" i="50"/>
  <c r="T155" i="50"/>
  <c r="U154" i="50"/>
  <c r="T154" i="50"/>
  <c r="U153" i="50"/>
  <c r="T153" i="50"/>
  <c r="U152" i="50"/>
  <c r="T152" i="50"/>
  <c r="S151" i="50"/>
  <c r="R151" i="50"/>
  <c r="U151" i="50" s="1"/>
  <c r="Q151" i="50"/>
  <c r="T151" i="50" s="1"/>
  <c r="P151" i="50"/>
  <c r="N151" i="50"/>
  <c r="O151" i="50" s="1"/>
  <c r="L151" i="50"/>
  <c r="K151" i="50"/>
  <c r="U148" i="50"/>
  <c r="T148" i="50"/>
  <c r="U147" i="50"/>
  <c r="T147" i="50"/>
  <c r="U146" i="50"/>
  <c r="T146" i="50"/>
  <c r="S145" i="50"/>
  <c r="R145" i="50"/>
  <c r="U145" i="50" s="1"/>
  <c r="Q145" i="50"/>
  <c r="T145" i="50" s="1"/>
  <c r="P145" i="50"/>
  <c r="N145" i="50"/>
  <c r="O145" i="50" s="1"/>
  <c r="L145" i="50"/>
  <c r="K145" i="50"/>
  <c r="U143" i="50"/>
  <c r="T143" i="50"/>
  <c r="U142" i="50"/>
  <c r="T142" i="50"/>
  <c r="U141" i="50"/>
  <c r="T141" i="50"/>
  <c r="U140" i="50"/>
  <c r="T140" i="50"/>
  <c r="S139" i="50"/>
  <c r="R139" i="50"/>
  <c r="U139" i="50" s="1"/>
  <c r="Q139" i="50"/>
  <c r="P139" i="50"/>
  <c r="N139" i="50"/>
  <c r="L139" i="50"/>
  <c r="K139" i="50"/>
  <c r="U137" i="50"/>
  <c r="T137" i="50"/>
  <c r="U136" i="50"/>
  <c r="T136" i="50"/>
  <c r="S135" i="50"/>
  <c r="R135" i="50"/>
  <c r="U135" i="50" s="1"/>
  <c r="Q135" i="50"/>
  <c r="P135" i="50"/>
  <c r="N135" i="50"/>
  <c r="O135" i="50" s="1"/>
  <c r="L135" i="50"/>
  <c r="K135" i="50"/>
  <c r="U133" i="50"/>
  <c r="T133" i="50"/>
  <c r="U132" i="50"/>
  <c r="T132" i="50"/>
  <c r="U131" i="50"/>
  <c r="T131" i="50"/>
  <c r="S130" i="50"/>
  <c r="R130" i="50"/>
  <c r="Q130" i="50"/>
  <c r="T130" i="50" s="1"/>
  <c r="P130" i="50"/>
  <c r="N130" i="50"/>
  <c r="O130" i="50" s="1"/>
  <c r="L130" i="50"/>
  <c r="K130" i="50"/>
  <c r="U128" i="50"/>
  <c r="T128" i="50"/>
  <c r="U127" i="50"/>
  <c r="T127" i="50"/>
  <c r="U126" i="50"/>
  <c r="T126" i="50"/>
  <c r="S125" i="50"/>
  <c r="R125" i="50"/>
  <c r="U125" i="50" s="1"/>
  <c r="Q125" i="50"/>
  <c r="T125" i="50" s="1"/>
  <c r="P125" i="50"/>
  <c r="N125" i="50"/>
  <c r="L125" i="50"/>
  <c r="K125" i="50"/>
  <c r="U123" i="50"/>
  <c r="T123" i="50"/>
  <c r="U122" i="50"/>
  <c r="T122" i="50"/>
  <c r="U121" i="50"/>
  <c r="T121" i="50"/>
  <c r="S120" i="50"/>
  <c r="R120" i="50"/>
  <c r="U120" i="50" s="1"/>
  <c r="Q120" i="50"/>
  <c r="T120" i="50" s="1"/>
  <c r="P120" i="50"/>
  <c r="N120" i="50"/>
  <c r="O120" i="50" s="1"/>
  <c r="L120" i="50"/>
  <c r="K120" i="50"/>
  <c r="U118" i="50"/>
  <c r="T118" i="50"/>
  <c r="U117" i="50"/>
  <c r="T117" i="50"/>
  <c r="U116" i="50"/>
  <c r="T116" i="50"/>
  <c r="S115" i="50"/>
  <c r="R115" i="50"/>
  <c r="U115" i="50" s="1"/>
  <c r="Q115" i="50"/>
  <c r="T115" i="50" s="1"/>
  <c r="P115" i="50"/>
  <c r="N115" i="50"/>
  <c r="O115" i="50" s="1"/>
  <c r="L115" i="50"/>
  <c r="K115" i="50"/>
  <c r="U113" i="50"/>
  <c r="T113" i="50"/>
  <c r="U112" i="50"/>
  <c r="T112" i="50"/>
  <c r="U111" i="50"/>
  <c r="T111" i="50"/>
  <c r="S110" i="50"/>
  <c r="R110" i="50"/>
  <c r="U110" i="50" s="1"/>
  <c r="Q110" i="50"/>
  <c r="T110" i="50" s="1"/>
  <c r="P110" i="50"/>
  <c r="N110" i="50"/>
  <c r="O110" i="50" s="1"/>
  <c r="L110" i="50"/>
  <c r="K110" i="50"/>
  <c r="U108" i="50"/>
  <c r="T108" i="50"/>
  <c r="U107" i="50"/>
  <c r="T107" i="50"/>
  <c r="S106" i="50"/>
  <c r="R106" i="50"/>
  <c r="U106" i="50" s="1"/>
  <c r="Q106" i="50"/>
  <c r="P106" i="50"/>
  <c r="N106" i="50"/>
  <c r="O106" i="50" s="1"/>
  <c r="L106" i="50"/>
  <c r="K106" i="50"/>
  <c r="U104" i="50"/>
  <c r="T104" i="50"/>
  <c r="U103" i="50"/>
  <c r="T103" i="50"/>
  <c r="U102" i="50"/>
  <c r="T102" i="50"/>
  <c r="S101" i="50"/>
  <c r="R101" i="50"/>
  <c r="U101" i="50" s="1"/>
  <c r="Q101" i="50"/>
  <c r="T101" i="50" s="1"/>
  <c r="P101" i="50"/>
  <c r="N101" i="50"/>
  <c r="O101" i="50" s="1"/>
  <c r="L101" i="50"/>
  <c r="K101" i="50"/>
  <c r="U99" i="50"/>
  <c r="T99" i="50"/>
  <c r="U98" i="50"/>
  <c r="T98" i="50"/>
  <c r="U97" i="50"/>
  <c r="T97" i="50"/>
  <c r="S96" i="50"/>
  <c r="R96" i="50"/>
  <c r="U96" i="50" s="1"/>
  <c r="Q96" i="50"/>
  <c r="T96" i="50" s="1"/>
  <c r="P96" i="50"/>
  <c r="N96" i="50"/>
  <c r="O96" i="50" s="1"/>
  <c r="L96" i="50"/>
  <c r="K96" i="50"/>
  <c r="U94" i="50"/>
  <c r="T94" i="50"/>
  <c r="U93" i="50"/>
  <c r="T93" i="50"/>
  <c r="U92" i="50"/>
  <c r="S92" i="50"/>
  <c r="R92" i="50"/>
  <c r="Q92" i="50"/>
  <c r="T92" i="50" s="1"/>
  <c r="P92" i="50"/>
  <c r="N92" i="50"/>
  <c r="O92" i="50" s="1"/>
  <c r="L92" i="50"/>
  <c r="K92" i="50"/>
  <c r="U90" i="50"/>
  <c r="T90" i="50"/>
  <c r="U89" i="50"/>
  <c r="T89" i="50"/>
  <c r="U88" i="50"/>
  <c r="T88" i="50"/>
  <c r="U87" i="50"/>
  <c r="T87" i="50"/>
  <c r="S86" i="50"/>
  <c r="R86" i="50"/>
  <c r="Q86" i="50"/>
  <c r="T86" i="50" s="1"/>
  <c r="P86" i="50"/>
  <c r="N86" i="50"/>
  <c r="O86" i="50" s="1"/>
  <c r="L86" i="50"/>
  <c r="K86" i="50"/>
  <c r="U84" i="50"/>
  <c r="T84" i="50"/>
  <c r="U83" i="50"/>
  <c r="T83" i="50"/>
  <c r="U82" i="50"/>
  <c r="T82" i="50"/>
  <c r="S81" i="50"/>
  <c r="R81" i="50"/>
  <c r="U81" i="50" s="1"/>
  <c r="Q81" i="50"/>
  <c r="T81" i="50" s="1"/>
  <c r="P81" i="50"/>
  <c r="N81" i="50"/>
  <c r="L81" i="50"/>
  <c r="K81" i="50"/>
  <c r="U77" i="50"/>
  <c r="T77" i="50"/>
  <c r="U76" i="50"/>
  <c r="T76" i="50"/>
  <c r="U75" i="50"/>
  <c r="T75" i="50"/>
  <c r="S74" i="50"/>
  <c r="R74" i="50"/>
  <c r="U74" i="50" s="1"/>
  <c r="Q74" i="50"/>
  <c r="T74" i="50" s="1"/>
  <c r="P74" i="50"/>
  <c r="N74" i="50"/>
  <c r="L74" i="50"/>
  <c r="K74" i="50"/>
  <c r="U71" i="50"/>
  <c r="T71" i="50"/>
  <c r="U70" i="50"/>
  <c r="T70" i="50"/>
  <c r="S69" i="50"/>
  <c r="R69" i="50"/>
  <c r="U69" i="50" s="1"/>
  <c r="Q69" i="50"/>
  <c r="T69" i="50" s="1"/>
  <c r="P69" i="50"/>
  <c r="N69" i="50"/>
  <c r="O69" i="50" s="1"/>
  <c r="L69" i="50"/>
  <c r="K69" i="50"/>
  <c r="U66" i="50"/>
  <c r="T66" i="50"/>
  <c r="U65" i="50"/>
  <c r="T65" i="50"/>
  <c r="U64" i="50"/>
  <c r="T64" i="50"/>
  <c r="U63" i="50"/>
  <c r="T63" i="50"/>
  <c r="U62" i="50"/>
  <c r="T62" i="50"/>
  <c r="U61" i="50"/>
  <c r="T61" i="50"/>
  <c r="S60" i="50"/>
  <c r="R60" i="50"/>
  <c r="U60" i="50" s="1"/>
  <c r="Q60" i="50"/>
  <c r="O60" i="50" s="1"/>
  <c r="P60" i="50"/>
  <c r="N60" i="50"/>
  <c r="L60" i="50"/>
  <c r="K60" i="50"/>
  <c r="U57" i="50"/>
  <c r="T57" i="50"/>
  <c r="U56" i="50"/>
  <c r="T56" i="50"/>
  <c r="U55" i="50"/>
  <c r="T55" i="50"/>
  <c r="U54" i="50"/>
  <c r="T54" i="50"/>
  <c r="S53" i="50"/>
  <c r="R53" i="50"/>
  <c r="U53" i="50" s="1"/>
  <c r="Q53" i="50"/>
  <c r="P53" i="50"/>
  <c r="N53" i="50"/>
  <c r="O53" i="50" s="1"/>
  <c r="L53" i="50"/>
  <c r="K53" i="50"/>
  <c r="U50" i="50"/>
  <c r="T50" i="50"/>
  <c r="U49" i="50"/>
  <c r="T49" i="50"/>
  <c r="U48" i="50"/>
  <c r="T48" i="50"/>
  <c r="S47" i="50"/>
  <c r="R47" i="50"/>
  <c r="U47" i="50" s="1"/>
  <c r="Q47" i="50"/>
  <c r="P47" i="50"/>
  <c r="N47" i="50"/>
  <c r="O47" i="50" s="1"/>
  <c r="L47" i="50"/>
  <c r="K47" i="50"/>
  <c r="U44" i="50"/>
  <c r="T44" i="50"/>
  <c r="U43" i="50"/>
  <c r="T43" i="50"/>
  <c r="U42" i="50"/>
  <c r="T42" i="50"/>
  <c r="U41" i="50"/>
  <c r="T41" i="50"/>
  <c r="U40" i="50"/>
  <c r="T40" i="50"/>
  <c r="U39" i="50"/>
  <c r="T39" i="50"/>
  <c r="S38" i="50"/>
  <c r="R38" i="50"/>
  <c r="Q38" i="50"/>
  <c r="T38" i="50" s="1"/>
  <c r="P38" i="50"/>
  <c r="N38" i="50"/>
  <c r="L38" i="50"/>
  <c r="K38" i="50"/>
  <c r="U35" i="50"/>
  <c r="T35" i="50"/>
  <c r="U34" i="50"/>
  <c r="T34" i="50"/>
  <c r="S33" i="50"/>
  <c r="R33" i="50"/>
  <c r="U33" i="50" s="1"/>
  <c r="Q33" i="50"/>
  <c r="T33" i="50" s="1"/>
  <c r="P33" i="50"/>
  <c r="N33" i="50"/>
  <c r="L33" i="50"/>
  <c r="K33" i="50"/>
  <c r="U29" i="50"/>
  <c r="T29" i="50"/>
  <c r="U28" i="50"/>
  <c r="T28" i="50"/>
  <c r="U27" i="50"/>
  <c r="T27" i="50"/>
  <c r="U26" i="50"/>
  <c r="T26" i="50"/>
  <c r="S25" i="50"/>
  <c r="R25" i="50"/>
  <c r="Q25" i="50"/>
  <c r="T25" i="50" s="1"/>
  <c r="P25" i="50"/>
  <c r="N25" i="50"/>
  <c r="O25" i="50" s="1"/>
  <c r="L25" i="50"/>
  <c r="K25" i="50"/>
  <c r="U22" i="50"/>
  <c r="T22" i="50"/>
  <c r="U21" i="50"/>
  <c r="T21" i="50"/>
  <c r="S20" i="50"/>
  <c r="R20" i="50"/>
  <c r="U20" i="50" s="1"/>
  <c r="Q20" i="50"/>
  <c r="P20" i="50"/>
  <c r="N20" i="50"/>
  <c r="L20" i="50"/>
  <c r="U19" i="50"/>
  <c r="T19" i="50"/>
  <c r="U18" i="50"/>
  <c r="T18" i="50"/>
  <c r="S17" i="50"/>
  <c r="R17" i="50"/>
  <c r="U17" i="50" s="1"/>
  <c r="Q17" i="50"/>
  <c r="P17" i="50"/>
  <c r="N17" i="50"/>
  <c r="O17" i="50" s="1"/>
  <c r="L17" i="50"/>
  <c r="K17" i="50"/>
  <c r="U12" i="50"/>
  <c r="T12" i="50"/>
  <c r="S11" i="50"/>
  <c r="R11" i="50"/>
  <c r="U11" i="50" s="1"/>
  <c r="Q11" i="50"/>
  <c r="T11" i="50" s="1"/>
  <c r="P11" i="50"/>
  <c r="N11" i="50"/>
  <c r="O11" i="50" s="1"/>
  <c r="L11" i="50"/>
  <c r="K11" i="50"/>
  <c r="U38" i="50" l="1"/>
  <c r="O161" i="50"/>
  <c r="O180" i="50"/>
  <c r="T20" i="50"/>
  <c r="O81" i="50"/>
  <c r="U86" i="50"/>
  <c r="T135" i="50"/>
  <c r="R223" i="50"/>
  <c r="S223" i="50"/>
  <c r="U25" i="50"/>
  <c r="O190" i="50"/>
  <c r="O74" i="50"/>
  <c r="P223" i="50"/>
  <c r="T17" i="50"/>
  <c r="O195" i="50"/>
  <c r="O223" i="50" s="1"/>
  <c r="O139" i="50"/>
  <c r="O38" i="50"/>
  <c r="T106" i="50"/>
  <c r="O125" i="50"/>
  <c r="U130" i="50"/>
  <c r="O157" i="50"/>
  <c r="T187" i="50"/>
  <c r="T214" i="50"/>
  <c r="O224" i="50"/>
  <c r="T60" i="50"/>
  <c r="U214" i="50"/>
  <c r="E223" i="50"/>
  <c r="O20" i="50"/>
  <c r="O33" i="50"/>
  <c r="Q223" i="50"/>
  <c r="T47" i="50"/>
  <c r="T53" i="50"/>
  <c r="T169" i="50"/>
  <c r="T190" i="50"/>
  <c r="T195" i="50"/>
  <c r="T180" i="50"/>
  <c r="T139" i="50"/>
  <c r="E20" i="5" l="1"/>
  <c r="D20" i="5"/>
  <c r="C20" i="5"/>
  <c r="G161" i="49"/>
  <c r="C161" i="49"/>
  <c r="O162" i="49"/>
  <c r="O161" i="49"/>
  <c r="U159" i="49"/>
  <c r="T159" i="49"/>
  <c r="U158" i="49"/>
  <c r="T158" i="49"/>
  <c r="S157" i="49"/>
  <c r="R157" i="49"/>
  <c r="U157" i="49" s="1"/>
  <c r="Q157" i="49"/>
  <c r="T157" i="49" s="1"/>
  <c r="P157" i="49"/>
  <c r="N157" i="49"/>
  <c r="O157" i="49" s="1"/>
  <c r="L157" i="49"/>
  <c r="K157" i="49"/>
  <c r="U152" i="49"/>
  <c r="T152" i="49"/>
  <c r="U151" i="49"/>
  <c r="T151" i="49"/>
  <c r="S150" i="49"/>
  <c r="R150" i="49"/>
  <c r="U150" i="49" s="1"/>
  <c r="Q150" i="49"/>
  <c r="P150" i="49"/>
  <c r="N150" i="49"/>
  <c r="O150" i="49" s="1"/>
  <c r="L150" i="49"/>
  <c r="K150" i="49"/>
  <c r="U148" i="49"/>
  <c r="T148" i="49"/>
  <c r="U147" i="49"/>
  <c r="T147" i="49"/>
  <c r="S146" i="49"/>
  <c r="R146" i="49"/>
  <c r="U146" i="49" s="1"/>
  <c r="Q146" i="49"/>
  <c r="P146" i="49"/>
  <c r="N146" i="49"/>
  <c r="L146" i="49"/>
  <c r="K146" i="49"/>
  <c r="U144" i="49"/>
  <c r="T144" i="49"/>
  <c r="U143" i="49"/>
  <c r="T143" i="49"/>
  <c r="U142" i="49"/>
  <c r="T142" i="49"/>
  <c r="U141" i="49"/>
  <c r="T141" i="49"/>
  <c r="U140" i="49"/>
  <c r="T140" i="49"/>
  <c r="S139" i="49"/>
  <c r="R139" i="49"/>
  <c r="U139" i="49" s="1"/>
  <c r="Q139" i="49"/>
  <c r="T139" i="49" s="1"/>
  <c r="P139" i="49"/>
  <c r="N139" i="49"/>
  <c r="L139" i="49"/>
  <c r="K139" i="49"/>
  <c r="U136" i="49"/>
  <c r="T136" i="49"/>
  <c r="U135" i="49"/>
  <c r="T135" i="49"/>
  <c r="U134" i="49"/>
  <c r="T134" i="49"/>
  <c r="S133" i="49"/>
  <c r="R133" i="49"/>
  <c r="U133" i="49" s="1"/>
  <c r="Q133" i="49"/>
  <c r="P133" i="49"/>
  <c r="N133" i="49"/>
  <c r="L133" i="49"/>
  <c r="K133" i="49"/>
  <c r="U131" i="49"/>
  <c r="T131" i="49"/>
  <c r="U130" i="49"/>
  <c r="T130" i="49"/>
  <c r="S129" i="49"/>
  <c r="R129" i="49"/>
  <c r="U129" i="49" s="1"/>
  <c r="Q129" i="49"/>
  <c r="P129" i="49"/>
  <c r="N129" i="49"/>
  <c r="L129" i="49"/>
  <c r="K129" i="49"/>
  <c r="U126" i="49"/>
  <c r="T126" i="49"/>
  <c r="U125" i="49"/>
  <c r="T125" i="49"/>
  <c r="U124" i="49"/>
  <c r="T124" i="49"/>
  <c r="S123" i="49"/>
  <c r="R123" i="49"/>
  <c r="U123" i="49" s="1"/>
  <c r="Q123" i="49"/>
  <c r="P123" i="49"/>
  <c r="N123" i="49"/>
  <c r="L123" i="49"/>
  <c r="K123" i="49"/>
  <c r="U120" i="49"/>
  <c r="T120" i="49"/>
  <c r="S119" i="49"/>
  <c r="R119" i="49"/>
  <c r="U119" i="49" s="1"/>
  <c r="Q119" i="49"/>
  <c r="T119" i="49" s="1"/>
  <c r="P119" i="49"/>
  <c r="N119" i="49"/>
  <c r="O119" i="49" s="1"/>
  <c r="L119" i="49"/>
  <c r="K119" i="49"/>
  <c r="U118" i="49"/>
  <c r="T118" i="49"/>
  <c r="S117" i="49"/>
  <c r="R117" i="49"/>
  <c r="U117" i="49" s="1"/>
  <c r="Q117" i="49"/>
  <c r="P117" i="49"/>
  <c r="N117" i="49"/>
  <c r="L117" i="49"/>
  <c r="K117" i="49"/>
  <c r="U114" i="49"/>
  <c r="T114" i="49"/>
  <c r="U113" i="49"/>
  <c r="T113" i="49"/>
  <c r="S112" i="49"/>
  <c r="R112" i="49"/>
  <c r="Q112" i="49"/>
  <c r="P112" i="49"/>
  <c r="N112" i="49"/>
  <c r="L112" i="49"/>
  <c r="U110" i="49"/>
  <c r="T110" i="49"/>
  <c r="S109" i="49"/>
  <c r="R109" i="49"/>
  <c r="U109" i="49" s="1"/>
  <c r="Q109" i="49"/>
  <c r="T109" i="49" s="1"/>
  <c r="P109" i="49"/>
  <c r="N109" i="49"/>
  <c r="O109" i="49" s="1"/>
  <c r="L109" i="49"/>
  <c r="U108" i="49"/>
  <c r="T108" i="49"/>
  <c r="S107" i="49"/>
  <c r="R107" i="49"/>
  <c r="U107" i="49" s="1"/>
  <c r="Q107" i="49"/>
  <c r="P107" i="49"/>
  <c r="N107" i="49"/>
  <c r="L107" i="49"/>
  <c r="U106" i="49"/>
  <c r="T106" i="49"/>
  <c r="S105" i="49"/>
  <c r="R105" i="49"/>
  <c r="U105" i="49" s="1"/>
  <c r="Q105" i="49"/>
  <c r="T105" i="49" s="1"/>
  <c r="P105" i="49"/>
  <c r="N105" i="49"/>
  <c r="O105" i="49" s="1"/>
  <c r="L105" i="49"/>
  <c r="U104" i="49"/>
  <c r="T104" i="49"/>
  <c r="S103" i="49"/>
  <c r="R103" i="49"/>
  <c r="U103" i="49" s="1"/>
  <c r="Q103" i="49"/>
  <c r="P103" i="49"/>
  <c r="N103" i="49"/>
  <c r="L103" i="49"/>
  <c r="U102" i="49"/>
  <c r="T102" i="49"/>
  <c r="S101" i="49"/>
  <c r="R101" i="49"/>
  <c r="U101" i="49" s="1"/>
  <c r="Q101" i="49"/>
  <c r="P101" i="49"/>
  <c r="N101" i="49"/>
  <c r="L101" i="49"/>
  <c r="U100" i="49"/>
  <c r="T100" i="49"/>
  <c r="S99" i="49"/>
  <c r="R99" i="49"/>
  <c r="U99" i="49" s="1"/>
  <c r="Q99" i="49"/>
  <c r="P99" i="49"/>
  <c r="N99" i="49"/>
  <c r="L99" i="49"/>
  <c r="U98" i="49"/>
  <c r="T98" i="49"/>
  <c r="S97" i="49"/>
  <c r="R97" i="49"/>
  <c r="U97" i="49" s="1"/>
  <c r="Q97" i="49"/>
  <c r="P97" i="49"/>
  <c r="N97" i="49"/>
  <c r="L97" i="49"/>
  <c r="U96" i="49"/>
  <c r="T96" i="49"/>
  <c r="S95" i="49"/>
  <c r="R95" i="49"/>
  <c r="Q95" i="49"/>
  <c r="P95" i="49"/>
  <c r="N95" i="49"/>
  <c r="L95" i="49"/>
  <c r="U92" i="49"/>
  <c r="T92" i="49"/>
  <c r="S91" i="49"/>
  <c r="R91" i="49"/>
  <c r="U91" i="49" s="1"/>
  <c r="Q91" i="49"/>
  <c r="T91" i="49" s="1"/>
  <c r="P91" i="49"/>
  <c r="N91" i="49"/>
  <c r="O91" i="49" s="1"/>
  <c r="L91" i="49"/>
  <c r="U89" i="49"/>
  <c r="T89" i="49"/>
  <c r="S88" i="49"/>
  <c r="R88" i="49"/>
  <c r="Q88" i="49"/>
  <c r="P88" i="49"/>
  <c r="N88" i="49"/>
  <c r="L88" i="49"/>
  <c r="U87" i="49"/>
  <c r="T87" i="49"/>
  <c r="S86" i="49"/>
  <c r="R86" i="49"/>
  <c r="U86" i="49" s="1"/>
  <c r="Q86" i="49"/>
  <c r="T86" i="49" s="1"/>
  <c r="P86" i="49"/>
  <c r="N86" i="49"/>
  <c r="L86" i="49"/>
  <c r="U85" i="49"/>
  <c r="T85" i="49"/>
  <c r="S84" i="49"/>
  <c r="R84" i="49"/>
  <c r="Q84" i="49"/>
  <c r="P84" i="49"/>
  <c r="N84" i="49"/>
  <c r="L84" i="49"/>
  <c r="U83" i="49"/>
  <c r="T83" i="49"/>
  <c r="S82" i="49"/>
  <c r="R82" i="49"/>
  <c r="U82" i="49" s="1"/>
  <c r="Q82" i="49"/>
  <c r="T82" i="49" s="1"/>
  <c r="P82" i="49"/>
  <c r="N82" i="49"/>
  <c r="L82" i="49"/>
  <c r="U81" i="49"/>
  <c r="T81" i="49"/>
  <c r="U80" i="49"/>
  <c r="T80" i="49"/>
  <c r="S79" i="49"/>
  <c r="R79" i="49"/>
  <c r="Q79" i="49"/>
  <c r="P79" i="49"/>
  <c r="N79" i="49"/>
  <c r="O79" i="49" s="1"/>
  <c r="L79" i="49"/>
  <c r="U78" i="49"/>
  <c r="T78" i="49"/>
  <c r="S77" i="49"/>
  <c r="R77" i="49"/>
  <c r="Q77" i="49"/>
  <c r="T77" i="49" s="1"/>
  <c r="P77" i="49"/>
  <c r="N77" i="49"/>
  <c r="L77" i="49"/>
  <c r="U76" i="49"/>
  <c r="T76" i="49"/>
  <c r="U75" i="49"/>
  <c r="T75" i="49"/>
  <c r="S74" i="49"/>
  <c r="R74" i="49"/>
  <c r="U74" i="49" s="1"/>
  <c r="Q74" i="49"/>
  <c r="P74" i="49"/>
  <c r="N74" i="49"/>
  <c r="L74" i="49"/>
  <c r="U72" i="49"/>
  <c r="T72" i="49"/>
  <c r="S71" i="49"/>
  <c r="R71" i="49"/>
  <c r="U71" i="49" s="1"/>
  <c r="Q71" i="49"/>
  <c r="T71" i="49" s="1"/>
  <c r="P71" i="49"/>
  <c r="N71" i="49"/>
  <c r="O71" i="49" s="1"/>
  <c r="L71" i="49"/>
  <c r="U67" i="49"/>
  <c r="T67" i="49"/>
  <c r="S66" i="49"/>
  <c r="R66" i="49"/>
  <c r="U66" i="49" s="1"/>
  <c r="Q66" i="49"/>
  <c r="P66" i="49"/>
  <c r="N66" i="49"/>
  <c r="L66" i="49"/>
  <c r="U65" i="49"/>
  <c r="T65" i="49"/>
  <c r="S64" i="49"/>
  <c r="R64" i="49"/>
  <c r="U64" i="49" s="1"/>
  <c r="Q64" i="49"/>
  <c r="P64" i="49"/>
  <c r="N64" i="49"/>
  <c r="O64" i="49" s="1"/>
  <c r="L64" i="49"/>
  <c r="U63" i="49"/>
  <c r="T63" i="49"/>
  <c r="S62" i="49"/>
  <c r="R62" i="49"/>
  <c r="U62" i="49" s="1"/>
  <c r="Q62" i="49"/>
  <c r="T62" i="49" s="1"/>
  <c r="P62" i="49"/>
  <c r="N62" i="49"/>
  <c r="O62" i="49" s="1"/>
  <c r="L62" i="49"/>
  <c r="U61" i="49"/>
  <c r="T61" i="49"/>
  <c r="S60" i="49"/>
  <c r="R60" i="49"/>
  <c r="U60" i="49" s="1"/>
  <c r="Q60" i="49"/>
  <c r="P60" i="49"/>
  <c r="N60" i="49"/>
  <c r="O60" i="49" s="1"/>
  <c r="L60" i="49"/>
  <c r="U59" i="49"/>
  <c r="T59" i="49"/>
  <c r="S58" i="49"/>
  <c r="R58" i="49"/>
  <c r="U58" i="49" s="1"/>
  <c r="Q58" i="49"/>
  <c r="T58" i="49" s="1"/>
  <c r="P58" i="49"/>
  <c r="N58" i="49"/>
  <c r="L58" i="49"/>
  <c r="U57" i="49"/>
  <c r="T57" i="49"/>
  <c r="S56" i="49"/>
  <c r="R56" i="49"/>
  <c r="U56" i="49" s="1"/>
  <c r="Q56" i="49"/>
  <c r="T56" i="49" s="1"/>
  <c r="P56" i="49"/>
  <c r="N56" i="49"/>
  <c r="O56" i="49" s="1"/>
  <c r="L56" i="49"/>
  <c r="U55" i="49"/>
  <c r="T55" i="49"/>
  <c r="S54" i="49"/>
  <c r="R54" i="49"/>
  <c r="U54" i="49" s="1"/>
  <c r="Q54" i="49"/>
  <c r="P54" i="49"/>
  <c r="N54" i="49"/>
  <c r="L54" i="49"/>
  <c r="U53" i="49"/>
  <c r="T53" i="49"/>
  <c r="S52" i="49"/>
  <c r="R52" i="49"/>
  <c r="U52" i="49" s="1"/>
  <c r="Q52" i="49"/>
  <c r="T52" i="49" s="1"/>
  <c r="P52" i="49"/>
  <c r="N52" i="49"/>
  <c r="O52" i="49" s="1"/>
  <c r="L52" i="49"/>
  <c r="U51" i="49"/>
  <c r="T51" i="49"/>
  <c r="S50" i="49"/>
  <c r="R50" i="49"/>
  <c r="U50" i="49" s="1"/>
  <c r="Q50" i="49"/>
  <c r="T50" i="49" s="1"/>
  <c r="P50" i="49"/>
  <c r="N50" i="49"/>
  <c r="L50" i="49"/>
  <c r="U49" i="49"/>
  <c r="T49" i="49"/>
  <c r="S48" i="49"/>
  <c r="R48" i="49"/>
  <c r="U48" i="49" s="1"/>
  <c r="Q48" i="49"/>
  <c r="T48" i="49" s="1"/>
  <c r="P48" i="49"/>
  <c r="N48" i="49"/>
  <c r="O48" i="49" s="1"/>
  <c r="L48" i="49"/>
  <c r="U47" i="49"/>
  <c r="T47" i="49"/>
  <c r="S46" i="49"/>
  <c r="R46" i="49"/>
  <c r="U46" i="49" s="1"/>
  <c r="Q46" i="49"/>
  <c r="P46" i="49"/>
  <c r="N46" i="49"/>
  <c r="O46" i="49" s="1"/>
  <c r="L46" i="49"/>
  <c r="U45" i="49"/>
  <c r="T45" i="49"/>
  <c r="S44" i="49"/>
  <c r="R44" i="49"/>
  <c r="U44" i="49" s="1"/>
  <c r="Q44" i="49"/>
  <c r="P44" i="49"/>
  <c r="N44" i="49"/>
  <c r="L44" i="49"/>
  <c r="U43" i="49"/>
  <c r="T43" i="49"/>
  <c r="S42" i="49"/>
  <c r="R42" i="49"/>
  <c r="U42" i="49" s="1"/>
  <c r="Q42" i="49"/>
  <c r="P42" i="49"/>
  <c r="N42" i="49"/>
  <c r="O42" i="49" s="1"/>
  <c r="L42" i="49"/>
  <c r="U41" i="49"/>
  <c r="T41" i="49"/>
  <c r="S40" i="49"/>
  <c r="R40" i="49"/>
  <c r="U40" i="49" s="1"/>
  <c r="Q40" i="49"/>
  <c r="T40" i="49" s="1"/>
  <c r="P40" i="49"/>
  <c r="N40" i="49"/>
  <c r="L40" i="49"/>
  <c r="U36" i="49"/>
  <c r="T36" i="49"/>
  <c r="U35" i="49"/>
  <c r="T35" i="49"/>
  <c r="U34" i="49"/>
  <c r="T34" i="49"/>
  <c r="S33" i="49"/>
  <c r="R33" i="49"/>
  <c r="U33" i="49" s="1"/>
  <c r="Q33" i="49"/>
  <c r="T33" i="49" s="1"/>
  <c r="P33" i="49"/>
  <c r="N33" i="49"/>
  <c r="O33" i="49" s="1"/>
  <c r="L33" i="49"/>
  <c r="U29" i="49"/>
  <c r="T29" i="49"/>
  <c r="U28" i="49"/>
  <c r="T28" i="49"/>
  <c r="U27" i="49"/>
  <c r="T27" i="49"/>
  <c r="S26" i="49"/>
  <c r="R26" i="49"/>
  <c r="U26" i="49" s="1"/>
  <c r="Q26" i="49"/>
  <c r="P26" i="49"/>
  <c r="N26" i="49"/>
  <c r="O26" i="49" s="1"/>
  <c r="U23" i="49"/>
  <c r="T23" i="49"/>
  <c r="S22" i="49"/>
  <c r="R22" i="49"/>
  <c r="Q22" i="49"/>
  <c r="P22" i="49"/>
  <c r="N22" i="49"/>
  <c r="U19" i="49"/>
  <c r="T19" i="49"/>
  <c r="U18" i="49"/>
  <c r="T18" i="49"/>
  <c r="S17" i="49"/>
  <c r="R17" i="49"/>
  <c r="U17" i="49" s="1"/>
  <c r="Q17" i="49"/>
  <c r="T17" i="49" s="1"/>
  <c r="P17" i="49"/>
  <c r="N17" i="49"/>
  <c r="O17" i="49" s="1"/>
  <c r="L17" i="49"/>
  <c r="K17" i="49"/>
  <c r="U12" i="49"/>
  <c r="T12" i="49"/>
  <c r="R11" i="49" s="1"/>
  <c r="P11" i="49"/>
  <c r="N11" i="49"/>
  <c r="L11" i="49"/>
  <c r="K11" i="49"/>
  <c r="O129" i="49" l="1"/>
  <c r="T112" i="49"/>
  <c r="O139" i="49"/>
  <c r="O103" i="49"/>
  <c r="O117" i="49"/>
  <c r="O107" i="49"/>
  <c r="T95" i="49"/>
  <c r="O123" i="49"/>
  <c r="U112" i="49"/>
  <c r="T26" i="49"/>
  <c r="P161" i="49"/>
  <c r="T79" i="49"/>
  <c r="O88" i="49"/>
  <c r="O146" i="49"/>
  <c r="S11" i="49"/>
  <c r="S161" i="49" s="1"/>
  <c r="O40" i="49"/>
  <c r="U79" i="49"/>
  <c r="T117" i="49"/>
  <c r="O66" i="49"/>
  <c r="O97" i="49"/>
  <c r="U84" i="49"/>
  <c r="T88" i="49"/>
  <c r="O133" i="49"/>
  <c r="T60" i="49"/>
  <c r="O95" i="49"/>
  <c r="O99" i="49"/>
  <c r="T22" i="49"/>
  <c r="O84" i="49"/>
  <c r="T42" i="49"/>
  <c r="T46" i="49"/>
  <c r="O77" i="49"/>
  <c r="U88" i="49"/>
  <c r="T146" i="49"/>
  <c r="O44" i="49"/>
  <c r="O74" i="49"/>
  <c r="O101" i="49"/>
  <c r="O50" i="49"/>
  <c r="T99" i="49"/>
  <c r="O112" i="49"/>
  <c r="T103" i="49"/>
  <c r="O22" i="49"/>
  <c r="O54" i="49"/>
  <c r="O58" i="49"/>
  <c r="O82" i="49"/>
  <c r="O86" i="49"/>
  <c r="Q11" i="49"/>
  <c r="Q161" i="49" s="1"/>
  <c r="U77" i="49"/>
  <c r="R161" i="49"/>
  <c r="U161" i="49" s="1"/>
  <c r="U11" i="49"/>
  <c r="U22" i="49"/>
  <c r="U95" i="49"/>
  <c r="T54" i="49"/>
  <c r="T150" i="49"/>
  <c r="T64" i="49"/>
  <c r="T101" i="49"/>
  <c r="T44" i="49"/>
  <c r="T74" i="49"/>
  <c r="T84" i="49"/>
  <c r="T107" i="49"/>
  <c r="T123" i="49"/>
  <c r="T129" i="49"/>
  <c r="T133" i="49"/>
  <c r="T66" i="49"/>
  <c r="T97" i="49"/>
  <c r="T161" i="49" l="1"/>
  <c r="O11" i="49"/>
  <c r="T11" i="49"/>
  <c r="E19" i="5"/>
  <c r="D19" i="5"/>
  <c r="C19" i="5"/>
  <c r="P62" i="61"/>
  <c r="C62" i="61"/>
  <c r="S58" i="61"/>
  <c r="R58" i="61"/>
  <c r="Q58" i="61"/>
  <c r="P58" i="61"/>
  <c r="N58" i="61"/>
  <c r="L58" i="61"/>
  <c r="K58" i="61"/>
  <c r="S52" i="61"/>
  <c r="R52" i="61"/>
  <c r="Q52" i="61"/>
  <c r="P52" i="61"/>
  <c r="N52" i="61"/>
  <c r="L52" i="61"/>
  <c r="S48" i="61"/>
  <c r="R48" i="61"/>
  <c r="Q48" i="61"/>
  <c r="P48" i="61"/>
  <c r="N48" i="61"/>
  <c r="L48" i="61"/>
  <c r="K48" i="61"/>
  <c r="S44" i="61"/>
  <c r="R44" i="61"/>
  <c r="Q44" i="61"/>
  <c r="P44" i="61"/>
  <c r="N44" i="61"/>
  <c r="L44" i="61"/>
  <c r="S41" i="61"/>
  <c r="S62" i="61" s="1"/>
  <c r="R41" i="61"/>
  <c r="R62" i="61" s="1"/>
  <c r="Q41" i="61"/>
  <c r="Q62" i="61" s="1"/>
  <c r="P41" i="61"/>
  <c r="N41" i="61"/>
  <c r="L41" i="61"/>
  <c r="S38" i="61"/>
  <c r="R38" i="61"/>
  <c r="Q38" i="61"/>
  <c r="P38" i="61"/>
  <c r="N38" i="61"/>
  <c r="L38" i="61"/>
  <c r="K38" i="61"/>
  <c r="S34" i="61"/>
  <c r="R34" i="61"/>
  <c r="Q34" i="61"/>
  <c r="P34" i="61"/>
  <c r="N34" i="61"/>
  <c r="K34" i="61"/>
  <c r="S31" i="61"/>
  <c r="R31" i="61"/>
  <c r="Q31" i="61"/>
  <c r="P31" i="61"/>
  <c r="N31" i="61"/>
  <c r="L31" i="61"/>
  <c r="K31" i="61"/>
  <c r="S27" i="61"/>
  <c r="R27" i="61"/>
  <c r="Q27" i="61"/>
  <c r="P27" i="61"/>
  <c r="N27" i="61"/>
  <c r="L27" i="61"/>
  <c r="K27" i="61"/>
  <c r="S24" i="61"/>
  <c r="R24" i="61"/>
  <c r="Q24" i="61"/>
  <c r="P24" i="61"/>
  <c r="N24" i="61"/>
  <c r="L24" i="61"/>
  <c r="S21" i="61"/>
  <c r="R21" i="61"/>
  <c r="Q21" i="61"/>
  <c r="P21" i="61"/>
  <c r="O62" i="61"/>
  <c r="N21" i="61"/>
  <c r="L21" i="61"/>
  <c r="K21" i="61"/>
  <c r="S17" i="61"/>
  <c r="R17" i="61"/>
  <c r="Q17" i="61"/>
  <c r="P17" i="61"/>
  <c r="N17" i="61"/>
  <c r="L17" i="61"/>
  <c r="K17" i="61"/>
  <c r="S11" i="61"/>
  <c r="R11" i="61"/>
  <c r="Q11" i="61"/>
  <c r="P11" i="61"/>
  <c r="N11" i="61"/>
  <c r="L11" i="61"/>
  <c r="K11" i="61"/>
  <c r="E18" i="5" l="1"/>
  <c r="D18" i="5"/>
  <c r="C18" i="5"/>
  <c r="S17" i="60"/>
  <c r="C17" i="60"/>
  <c r="U15" i="60"/>
  <c r="T15" i="60"/>
  <c r="U14" i="60"/>
  <c r="T14" i="60"/>
  <c r="U13" i="60"/>
  <c r="T13" i="60"/>
  <c r="U12" i="60"/>
  <c r="T12" i="60"/>
  <c r="S11" i="60"/>
  <c r="R11" i="60"/>
  <c r="U11" i="60" s="1"/>
  <c r="Q11" i="60"/>
  <c r="T11" i="60" s="1"/>
  <c r="P11" i="60"/>
  <c r="P17" i="60" s="1"/>
  <c r="N11" i="60"/>
  <c r="O11" i="60" s="1"/>
  <c r="L11" i="60"/>
  <c r="O17" i="60" l="1"/>
  <c r="G17" i="60"/>
  <c r="O18" i="60"/>
  <c r="Q17" i="60"/>
  <c r="T17" i="60" s="1"/>
  <c r="R17" i="60"/>
  <c r="U17" i="60" s="1"/>
  <c r="E17" i="5" l="1"/>
  <c r="D17" i="5"/>
  <c r="C17" i="5"/>
  <c r="O51" i="59"/>
  <c r="O50" i="59"/>
  <c r="G50" i="59"/>
  <c r="U50" i="59"/>
  <c r="T50" i="59"/>
  <c r="C50" i="59"/>
  <c r="U48" i="59"/>
  <c r="Q48" i="59"/>
  <c r="T48" i="59" s="1"/>
  <c r="S47" i="59"/>
  <c r="S50" i="59" s="1"/>
  <c r="R47" i="59"/>
  <c r="R50" i="59" s="1"/>
  <c r="Q47" i="59"/>
  <c r="T47" i="59" s="1"/>
  <c r="P47" i="59"/>
  <c r="P50" i="59" s="1"/>
  <c r="N47" i="59"/>
  <c r="O47" i="59" s="1"/>
  <c r="M47" i="59"/>
  <c r="L47" i="59"/>
  <c r="K47" i="59"/>
  <c r="U45" i="59"/>
  <c r="Q45" i="59"/>
  <c r="T45" i="59" s="1"/>
  <c r="S44" i="59"/>
  <c r="R44" i="59"/>
  <c r="U44" i="59" s="1"/>
  <c r="Q44" i="59"/>
  <c r="T44" i="59" s="1"/>
  <c r="P44" i="59"/>
  <c r="N44" i="59"/>
  <c r="O44" i="59" s="1"/>
  <c r="M44" i="59"/>
  <c r="L44" i="59"/>
  <c r="K44" i="59"/>
  <c r="U42" i="59"/>
  <c r="T42" i="59"/>
  <c r="U41" i="59"/>
  <c r="T41" i="59"/>
  <c r="S40" i="59"/>
  <c r="R40" i="59"/>
  <c r="U40" i="59" s="1"/>
  <c r="Q40" i="59"/>
  <c r="T40" i="59" s="1"/>
  <c r="P40" i="59"/>
  <c r="N40" i="59"/>
  <c r="O40" i="59" s="1"/>
  <c r="M40" i="59"/>
  <c r="L40" i="59"/>
  <c r="K40" i="59"/>
  <c r="U37" i="59"/>
  <c r="Q37" i="59"/>
  <c r="T37" i="59" s="1"/>
  <c r="S36" i="59"/>
  <c r="R36" i="59"/>
  <c r="U36" i="59" s="1"/>
  <c r="Q36" i="59"/>
  <c r="T36" i="59" s="1"/>
  <c r="P36" i="59"/>
  <c r="N36" i="59"/>
  <c r="O36" i="59" s="1"/>
  <c r="M36" i="59"/>
  <c r="L36" i="59"/>
  <c r="K36" i="59"/>
  <c r="U31" i="59"/>
  <c r="Q31" i="59"/>
  <c r="T31" i="59" s="1"/>
  <c r="S30" i="59"/>
  <c r="R30" i="59"/>
  <c r="U30" i="59" s="1"/>
  <c r="Q30" i="59"/>
  <c r="T30" i="59" s="1"/>
  <c r="P30" i="59"/>
  <c r="N30" i="59"/>
  <c r="O30" i="59" s="1"/>
  <c r="M30" i="59"/>
  <c r="L30" i="59"/>
  <c r="K30" i="59"/>
  <c r="U28" i="59"/>
  <c r="Q28" i="59"/>
  <c r="T28" i="59" s="1"/>
  <c r="S27" i="59"/>
  <c r="R27" i="59"/>
  <c r="U27" i="59" s="1"/>
  <c r="Q27" i="59"/>
  <c r="T27" i="59" s="1"/>
  <c r="N27" i="59"/>
  <c r="O27" i="59" s="1"/>
  <c r="M27" i="59"/>
  <c r="L27" i="59"/>
  <c r="K27" i="59"/>
  <c r="U25" i="59"/>
  <c r="T25" i="59"/>
  <c r="Q25" i="59"/>
  <c r="S24" i="59"/>
  <c r="R24" i="59"/>
  <c r="U24" i="59" s="1"/>
  <c r="Q24" i="59"/>
  <c r="T24" i="59" s="1"/>
  <c r="N24" i="59"/>
  <c r="O24" i="59" s="1"/>
  <c r="M24" i="59"/>
  <c r="L24" i="59"/>
  <c r="K24" i="59"/>
  <c r="U22" i="59"/>
  <c r="Q22" i="59"/>
  <c r="Q20" i="59" s="1"/>
  <c r="Q21" i="59"/>
  <c r="S20" i="59"/>
  <c r="R20" i="59"/>
  <c r="U20" i="59" s="1"/>
  <c r="P20" i="59"/>
  <c r="N20" i="59"/>
  <c r="M20" i="59"/>
  <c r="L20" i="59"/>
  <c r="K20" i="59"/>
  <c r="U18" i="59"/>
  <c r="Q18" i="59"/>
  <c r="T18" i="59" s="1"/>
  <c r="U17" i="59"/>
  <c r="S17" i="59"/>
  <c r="R17" i="59"/>
  <c r="P17" i="59"/>
  <c r="N17" i="59"/>
  <c r="M17" i="59"/>
  <c r="L17" i="59"/>
  <c r="K17" i="59"/>
  <c r="U15" i="59"/>
  <c r="Q15" i="59"/>
  <c r="T15" i="59" s="1"/>
  <c r="U14" i="59"/>
  <c r="S14" i="59"/>
  <c r="R14" i="59"/>
  <c r="N14" i="59"/>
  <c r="M14" i="59"/>
  <c r="L14" i="59"/>
  <c r="K14" i="59"/>
  <c r="U12" i="59"/>
  <c r="T12" i="59"/>
  <c r="S11" i="59"/>
  <c r="R11" i="59"/>
  <c r="U11" i="59" s="1"/>
  <c r="Q11" i="59"/>
  <c r="O11" i="59" s="1"/>
  <c r="P11" i="59"/>
  <c r="N11" i="59"/>
  <c r="M11" i="59"/>
  <c r="L11" i="59"/>
  <c r="K11" i="59"/>
  <c r="O20" i="59" l="1"/>
  <c r="T20" i="59"/>
  <c r="Q17" i="59"/>
  <c r="T11" i="59"/>
  <c r="U47" i="59"/>
  <c r="Q14" i="59"/>
  <c r="T22" i="59"/>
  <c r="E16" i="5"/>
  <c r="D16" i="5"/>
  <c r="C16" i="5"/>
  <c r="C180" i="48"/>
  <c r="U178" i="48"/>
  <c r="T178" i="48"/>
  <c r="N178" i="48"/>
  <c r="U177" i="48"/>
  <c r="T177" i="48"/>
  <c r="N177" i="48"/>
  <c r="N176" i="48" s="1"/>
  <c r="O176" i="48" s="1"/>
  <c r="U176" i="48"/>
  <c r="S176" i="48"/>
  <c r="R176" i="48"/>
  <c r="Q176" i="48"/>
  <c r="T176" i="48" s="1"/>
  <c r="P176" i="48"/>
  <c r="L176" i="48"/>
  <c r="K176" i="48"/>
  <c r="U175" i="48"/>
  <c r="T175" i="48"/>
  <c r="N175" i="48"/>
  <c r="N174" i="48" s="1"/>
  <c r="O174" i="48" s="1"/>
  <c r="T174" i="48"/>
  <c r="S174" i="48"/>
  <c r="U174" i="48" s="1"/>
  <c r="R174" i="48"/>
  <c r="Q174" i="48"/>
  <c r="P174" i="48"/>
  <c r="L174" i="48"/>
  <c r="U171" i="48"/>
  <c r="T171" i="48"/>
  <c r="N171" i="48"/>
  <c r="N170" i="48" s="1"/>
  <c r="S170" i="48"/>
  <c r="R170" i="48"/>
  <c r="U170" i="48" s="1"/>
  <c r="Q170" i="48"/>
  <c r="O170" i="48" s="1"/>
  <c r="P170" i="48"/>
  <c r="L170" i="48"/>
  <c r="U165" i="48"/>
  <c r="T165" i="48"/>
  <c r="N165" i="48"/>
  <c r="S164" i="48"/>
  <c r="R164" i="48"/>
  <c r="U164" i="48" s="1"/>
  <c r="Q164" i="48"/>
  <c r="T164" i="48" s="1"/>
  <c r="P164" i="48"/>
  <c r="N164" i="48"/>
  <c r="O164" i="48" s="1"/>
  <c r="L164" i="48"/>
  <c r="K164" i="48"/>
  <c r="U160" i="48"/>
  <c r="T160" i="48"/>
  <c r="N160" i="48"/>
  <c r="U159" i="48"/>
  <c r="T159" i="48"/>
  <c r="S158" i="48"/>
  <c r="R158" i="48"/>
  <c r="U158" i="48" s="1"/>
  <c r="Q158" i="48"/>
  <c r="T158" i="48" s="1"/>
  <c r="P158" i="48"/>
  <c r="N158" i="48"/>
  <c r="O158" i="48" s="1"/>
  <c r="L158" i="48"/>
  <c r="K158" i="48"/>
  <c r="U156" i="48"/>
  <c r="T156" i="48"/>
  <c r="N156" i="48"/>
  <c r="U155" i="48"/>
  <c r="T155" i="48"/>
  <c r="S154" i="48"/>
  <c r="R154" i="48"/>
  <c r="U154" i="48" s="1"/>
  <c r="Q154" i="48"/>
  <c r="T154" i="48" s="1"/>
  <c r="P154" i="48"/>
  <c r="N154" i="48"/>
  <c r="O154" i="48" s="1"/>
  <c r="L154" i="48"/>
  <c r="K154" i="48"/>
  <c r="U151" i="48"/>
  <c r="T151" i="48"/>
  <c r="N151" i="48"/>
  <c r="S150" i="48"/>
  <c r="R150" i="48"/>
  <c r="U150" i="48" s="1"/>
  <c r="Q150" i="48"/>
  <c r="T150" i="48" s="1"/>
  <c r="P150" i="48"/>
  <c r="N150" i="48"/>
  <c r="O150" i="48" s="1"/>
  <c r="L150" i="48"/>
  <c r="K150" i="48"/>
  <c r="U147" i="48"/>
  <c r="T147" i="48"/>
  <c r="N147" i="48"/>
  <c r="U146" i="48"/>
  <c r="T146" i="48"/>
  <c r="N146" i="48"/>
  <c r="S145" i="48"/>
  <c r="R145" i="48"/>
  <c r="U145" i="48" s="1"/>
  <c r="Q145" i="48"/>
  <c r="T145" i="48" s="1"/>
  <c r="P145" i="48"/>
  <c r="N145" i="48"/>
  <c r="O145" i="48" s="1"/>
  <c r="L145" i="48"/>
  <c r="K145" i="48"/>
  <c r="U143" i="48"/>
  <c r="T143" i="48"/>
  <c r="N143" i="48"/>
  <c r="S142" i="48"/>
  <c r="R142" i="48"/>
  <c r="U142" i="48" s="1"/>
  <c r="Q142" i="48"/>
  <c r="T142" i="48" s="1"/>
  <c r="P142" i="48"/>
  <c r="N142" i="48"/>
  <c r="O142" i="48" s="1"/>
  <c r="L142" i="48"/>
  <c r="K142" i="48"/>
  <c r="U140" i="48"/>
  <c r="T140" i="48"/>
  <c r="N140" i="48"/>
  <c r="U139" i="48"/>
  <c r="T139" i="48"/>
  <c r="N139" i="48"/>
  <c r="S138" i="48"/>
  <c r="R138" i="48"/>
  <c r="U138" i="48" s="1"/>
  <c r="Q138" i="48"/>
  <c r="T138" i="48" s="1"/>
  <c r="P138" i="48"/>
  <c r="N138" i="48"/>
  <c r="O138" i="48" s="1"/>
  <c r="L138" i="48"/>
  <c r="U136" i="48"/>
  <c r="T136" i="48"/>
  <c r="N136" i="48"/>
  <c r="U135" i="48"/>
  <c r="T135" i="48"/>
  <c r="N135" i="48"/>
  <c r="S134" i="48"/>
  <c r="R134" i="48"/>
  <c r="U134" i="48" s="1"/>
  <c r="Q134" i="48"/>
  <c r="T134" i="48" s="1"/>
  <c r="P134" i="48"/>
  <c r="N134" i="48"/>
  <c r="O134" i="48" s="1"/>
  <c r="L134" i="48"/>
  <c r="K134" i="48"/>
  <c r="U131" i="48"/>
  <c r="T131" i="48"/>
  <c r="N131" i="48"/>
  <c r="S130" i="48"/>
  <c r="R130" i="48"/>
  <c r="U130" i="48" s="1"/>
  <c r="Q130" i="48"/>
  <c r="T130" i="48" s="1"/>
  <c r="P130" i="48"/>
  <c r="N130" i="48"/>
  <c r="O130" i="48" s="1"/>
  <c r="L130" i="48"/>
  <c r="K130" i="48"/>
  <c r="U126" i="48"/>
  <c r="T126" i="48"/>
  <c r="N126" i="48"/>
  <c r="U125" i="48"/>
  <c r="T125" i="48"/>
  <c r="N125" i="48"/>
  <c r="S124" i="48"/>
  <c r="R124" i="48"/>
  <c r="U124" i="48" s="1"/>
  <c r="Q124" i="48"/>
  <c r="T124" i="48" s="1"/>
  <c r="P124" i="48"/>
  <c r="N124" i="48"/>
  <c r="O124" i="48" s="1"/>
  <c r="L124" i="48"/>
  <c r="K124" i="48"/>
  <c r="U121" i="48"/>
  <c r="T121" i="48"/>
  <c r="N121" i="48"/>
  <c r="U120" i="48"/>
  <c r="T120" i="48"/>
  <c r="N120" i="48"/>
  <c r="S119" i="48"/>
  <c r="R119" i="48"/>
  <c r="U119" i="48" s="1"/>
  <c r="Q119" i="48"/>
  <c r="T119" i="48" s="1"/>
  <c r="P119" i="48"/>
  <c r="N119" i="48"/>
  <c r="O119" i="48" s="1"/>
  <c r="L119" i="48"/>
  <c r="K119" i="48"/>
  <c r="U117" i="48"/>
  <c r="T117" i="48"/>
  <c r="N117" i="48"/>
  <c r="U116" i="48"/>
  <c r="T116" i="48"/>
  <c r="N116" i="48"/>
  <c r="S115" i="48"/>
  <c r="R115" i="48"/>
  <c r="U115" i="48" s="1"/>
  <c r="Q115" i="48"/>
  <c r="T115" i="48" s="1"/>
  <c r="P115" i="48"/>
  <c r="N115" i="48"/>
  <c r="O115" i="48" s="1"/>
  <c r="L115" i="48"/>
  <c r="K115" i="48"/>
  <c r="U114" i="48"/>
  <c r="T114" i="48"/>
  <c r="N114" i="48"/>
  <c r="S113" i="48"/>
  <c r="R113" i="48"/>
  <c r="U113" i="48" s="1"/>
  <c r="Q113" i="48"/>
  <c r="T113" i="48" s="1"/>
  <c r="P113" i="48"/>
  <c r="N113" i="48"/>
  <c r="O113" i="48" s="1"/>
  <c r="L113" i="48"/>
  <c r="K113" i="48"/>
  <c r="U111" i="48"/>
  <c r="T111" i="48"/>
  <c r="N111" i="48"/>
  <c r="U110" i="48"/>
  <c r="T110" i="48"/>
  <c r="N110" i="48"/>
  <c r="S109" i="48"/>
  <c r="R109" i="48"/>
  <c r="U109" i="48" s="1"/>
  <c r="Q109" i="48"/>
  <c r="T109" i="48" s="1"/>
  <c r="P109" i="48"/>
  <c r="O109" i="48"/>
  <c r="N109" i="48"/>
  <c r="L109" i="48"/>
  <c r="U107" i="48"/>
  <c r="T107" i="48"/>
  <c r="N107" i="48"/>
  <c r="U106" i="48"/>
  <c r="T106" i="48"/>
  <c r="N106" i="48"/>
  <c r="S105" i="48"/>
  <c r="R105" i="48"/>
  <c r="U105" i="48" s="1"/>
  <c r="Q105" i="48"/>
  <c r="T105" i="48" s="1"/>
  <c r="P105" i="48"/>
  <c r="O105" i="48"/>
  <c r="N105" i="48"/>
  <c r="L105" i="48"/>
  <c r="U102" i="48"/>
  <c r="T102" i="48"/>
  <c r="N102" i="48"/>
  <c r="U101" i="48"/>
  <c r="T101" i="48"/>
  <c r="N101" i="48"/>
  <c r="N100" i="48" s="1"/>
  <c r="O100" i="48" s="1"/>
  <c r="S100" i="48"/>
  <c r="R100" i="48"/>
  <c r="U100" i="48" s="1"/>
  <c r="Q100" i="48"/>
  <c r="T100" i="48" s="1"/>
  <c r="P100" i="48"/>
  <c r="L100" i="48"/>
  <c r="K100" i="48"/>
  <c r="U98" i="48"/>
  <c r="T98" i="48"/>
  <c r="N98" i="48"/>
  <c r="U97" i="48"/>
  <c r="T97" i="48"/>
  <c r="N97" i="48"/>
  <c r="U96" i="48"/>
  <c r="T96" i="48"/>
  <c r="N96" i="48"/>
  <c r="N95" i="48" s="1"/>
  <c r="U95" i="48"/>
  <c r="T95" i="48"/>
  <c r="S95" i="48"/>
  <c r="R95" i="48"/>
  <c r="Q95" i="48"/>
  <c r="O95" i="48" s="1"/>
  <c r="P95" i="48"/>
  <c r="L95" i="48"/>
  <c r="K95" i="48"/>
  <c r="U92" i="48"/>
  <c r="T92" i="48"/>
  <c r="N92" i="48"/>
  <c r="U91" i="48"/>
  <c r="T91" i="48"/>
  <c r="N91" i="48"/>
  <c r="U90" i="48"/>
  <c r="T90" i="48"/>
  <c r="N90" i="48"/>
  <c r="S89" i="48"/>
  <c r="R89" i="48"/>
  <c r="U89" i="48" s="1"/>
  <c r="Q89" i="48"/>
  <c r="T89" i="48" s="1"/>
  <c r="P89" i="48"/>
  <c r="O89" i="48"/>
  <c r="L89" i="48"/>
  <c r="K89" i="48"/>
  <c r="U87" i="48"/>
  <c r="T87" i="48"/>
  <c r="N87" i="48"/>
  <c r="N86" i="48" s="1"/>
  <c r="O86" i="48" s="1"/>
  <c r="U86" i="48"/>
  <c r="T86" i="48"/>
  <c r="S86" i="48"/>
  <c r="R86" i="48"/>
  <c r="Q86" i="48"/>
  <c r="P86" i="48"/>
  <c r="L86" i="48"/>
  <c r="K86" i="48"/>
  <c r="U84" i="48"/>
  <c r="T84" i="48"/>
  <c r="N84" i="48"/>
  <c r="U83" i="48"/>
  <c r="T83" i="48"/>
  <c r="N83" i="48"/>
  <c r="U82" i="48"/>
  <c r="T82" i="48"/>
  <c r="N82" i="48"/>
  <c r="U81" i="48"/>
  <c r="T81" i="48"/>
  <c r="N81" i="48"/>
  <c r="S80" i="48"/>
  <c r="R80" i="48"/>
  <c r="U80" i="48" s="1"/>
  <c r="Q80" i="48"/>
  <c r="T80" i="48" s="1"/>
  <c r="P80" i="48"/>
  <c r="N80" i="48"/>
  <c r="O80" i="48" s="1"/>
  <c r="L80" i="48"/>
  <c r="U78" i="48"/>
  <c r="T78" i="48"/>
  <c r="N78" i="48"/>
  <c r="U77" i="48"/>
  <c r="T77" i="48"/>
  <c r="N77" i="48"/>
  <c r="U76" i="48"/>
  <c r="T76" i="48"/>
  <c r="N76" i="48"/>
  <c r="N75" i="48" s="1"/>
  <c r="S75" i="48"/>
  <c r="R75" i="48"/>
  <c r="U75" i="48" s="1"/>
  <c r="Q75" i="48"/>
  <c r="O75" i="48" s="1"/>
  <c r="P75" i="48"/>
  <c r="L75" i="48"/>
  <c r="U73" i="48"/>
  <c r="T73" i="48"/>
  <c r="N73" i="48"/>
  <c r="U72" i="48"/>
  <c r="T72" i="48"/>
  <c r="N72" i="48"/>
  <c r="N71" i="48" s="1"/>
  <c r="S71" i="48"/>
  <c r="R71" i="48"/>
  <c r="U71" i="48" s="1"/>
  <c r="Q71" i="48"/>
  <c r="T71" i="48" s="1"/>
  <c r="P71" i="48"/>
  <c r="L71" i="48"/>
  <c r="U70" i="48"/>
  <c r="T70" i="48"/>
  <c r="N70" i="48"/>
  <c r="U69" i="48"/>
  <c r="T69" i="48"/>
  <c r="N69" i="48"/>
  <c r="N68" i="48" s="1"/>
  <c r="S68" i="48"/>
  <c r="R68" i="48"/>
  <c r="T68" i="48" s="1"/>
  <c r="Q68" i="48"/>
  <c r="O68" i="48" s="1"/>
  <c r="P68" i="48"/>
  <c r="L68" i="48"/>
  <c r="U67" i="48"/>
  <c r="T67" i="48"/>
  <c r="N67" i="48"/>
  <c r="U66" i="48"/>
  <c r="T66" i="48"/>
  <c r="N66" i="48"/>
  <c r="N65" i="48" s="1"/>
  <c r="U65" i="48"/>
  <c r="T65" i="48"/>
  <c r="S65" i="48"/>
  <c r="R65" i="48"/>
  <c r="Q65" i="48"/>
  <c r="P65" i="48"/>
  <c r="L65" i="48"/>
  <c r="K65" i="48"/>
  <c r="U64" i="48"/>
  <c r="T64" i="48"/>
  <c r="N64" i="48"/>
  <c r="U63" i="48"/>
  <c r="T63" i="48"/>
  <c r="N63" i="48"/>
  <c r="N62" i="48" s="1"/>
  <c r="O62" i="48" s="1"/>
  <c r="U62" i="48"/>
  <c r="T62" i="48"/>
  <c r="S62" i="48"/>
  <c r="R62" i="48"/>
  <c r="Q62" i="48"/>
  <c r="P62" i="48"/>
  <c r="L62" i="48"/>
  <c r="K62" i="48"/>
  <c r="U57" i="48"/>
  <c r="T57" i="48"/>
  <c r="N57" i="48"/>
  <c r="N56" i="48" s="1"/>
  <c r="O56" i="48" s="1"/>
  <c r="U56" i="48"/>
  <c r="T56" i="48"/>
  <c r="S56" i="48"/>
  <c r="R56" i="48"/>
  <c r="Q56" i="48"/>
  <c r="P56" i="48"/>
  <c r="L56" i="48"/>
  <c r="K56" i="48"/>
  <c r="U55" i="48"/>
  <c r="T55" i="48"/>
  <c r="N55" i="48"/>
  <c r="N54" i="48" s="1"/>
  <c r="O54" i="48" s="1"/>
  <c r="U54" i="48"/>
  <c r="T54" i="48"/>
  <c r="S54" i="48"/>
  <c r="R54" i="48"/>
  <c r="Q54" i="48"/>
  <c r="P54" i="48"/>
  <c r="L54" i="48"/>
  <c r="K54" i="48"/>
  <c r="U53" i="48"/>
  <c r="T53" i="48"/>
  <c r="N53" i="48"/>
  <c r="U52" i="48"/>
  <c r="T52" i="48"/>
  <c r="S52" i="48"/>
  <c r="R52" i="48"/>
  <c r="Q52" i="48"/>
  <c r="O52" i="48" s="1"/>
  <c r="P52" i="48"/>
  <c r="L52" i="48"/>
  <c r="K52" i="48"/>
  <c r="U51" i="48"/>
  <c r="T51" i="48"/>
  <c r="N51" i="48"/>
  <c r="N50" i="48" s="1"/>
  <c r="S50" i="48"/>
  <c r="R50" i="48"/>
  <c r="U50" i="48" s="1"/>
  <c r="Q50" i="48"/>
  <c r="P50" i="48"/>
  <c r="L50" i="48"/>
  <c r="K50" i="48"/>
  <c r="U49" i="48"/>
  <c r="T49" i="48"/>
  <c r="N49" i="48"/>
  <c r="N48" i="48" s="1"/>
  <c r="S48" i="48"/>
  <c r="R48" i="48"/>
  <c r="U48" i="48" s="1"/>
  <c r="Q48" i="48"/>
  <c r="O48" i="48" s="1"/>
  <c r="P48" i="48"/>
  <c r="L48" i="48"/>
  <c r="K48" i="48"/>
  <c r="U47" i="48"/>
  <c r="T47" i="48"/>
  <c r="N47" i="48"/>
  <c r="N46" i="48" s="1"/>
  <c r="S46" i="48"/>
  <c r="R46" i="48"/>
  <c r="U46" i="48" s="1"/>
  <c r="Q46" i="48"/>
  <c r="O46" i="48" s="1"/>
  <c r="P46" i="48"/>
  <c r="L46" i="48"/>
  <c r="K46" i="48"/>
  <c r="U45" i="48"/>
  <c r="T45" i="48"/>
  <c r="N45" i="48"/>
  <c r="S44" i="48"/>
  <c r="R44" i="48"/>
  <c r="U44" i="48" s="1"/>
  <c r="Q44" i="48"/>
  <c r="T44" i="48" s="1"/>
  <c r="P44" i="48"/>
  <c r="O44" i="48"/>
  <c r="N44" i="48"/>
  <c r="L44" i="48"/>
  <c r="K44" i="48"/>
  <c r="U43" i="48"/>
  <c r="T43" i="48"/>
  <c r="N43" i="48"/>
  <c r="U42" i="48"/>
  <c r="T42" i="48"/>
  <c r="N42" i="48"/>
  <c r="U41" i="48"/>
  <c r="T41" i="48"/>
  <c r="N41" i="48"/>
  <c r="N39" i="48" s="1"/>
  <c r="O39" i="48" s="1"/>
  <c r="U40" i="48"/>
  <c r="T40" i="48"/>
  <c r="N40" i="48"/>
  <c r="U39" i="48"/>
  <c r="S39" i="48"/>
  <c r="R39" i="48"/>
  <c r="Q39" i="48"/>
  <c r="T39" i="48" s="1"/>
  <c r="P39" i="48"/>
  <c r="L39" i="48"/>
  <c r="K39" i="48"/>
  <c r="U34" i="48"/>
  <c r="T34" i="48"/>
  <c r="N34" i="48"/>
  <c r="U33" i="48"/>
  <c r="T33" i="48"/>
  <c r="N33" i="48"/>
  <c r="S32" i="48"/>
  <c r="S180" i="48" s="1"/>
  <c r="R32" i="48"/>
  <c r="R180" i="48" s="1"/>
  <c r="Q32" i="48"/>
  <c r="T32" i="48" s="1"/>
  <c r="P32" i="48"/>
  <c r="P180" i="48" s="1"/>
  <c r="N32" i="48"/>
  <c r="O32" i="48" s="1"/>
  <c r="L32" i="48"/>
  <c r="U31" i="48"/>
  <c r="T31" i="48"/>
  <c r="N31" i="48"/>
  <c r="S30" i="48"/>
  <c r="R30" i="48"/>
  <c r="U30" i="48" s="1"/>
  <c r="Q30" i="48"/>
  <c r="T30" i="48" s="1"/>
  <c r="P30" i="48"/>
  <c r="O30" i="48"/>
  <c r="N30" i="48"/>
  <c r="L30" i="48"/>
  <c r="K30" i="48"/>
  <c r="U29" i="48"/>
  <c r="T29" i="48"/>
  <c r="N29" i="48"/>
  <c r="U28" i="48"/>
  <c r="T28" i="48"/>
  <c r="N28" i="48"/>
  <c r="U27" i="48"/>
  <c r="T27" i="48"/>
  <c r="N27" i="48"/>
  <c r="S26" i="48"/>
  <c r="R26" i="48"/>
  <c r="U26" i="48" s="1"/>
  <c r="Q26" i="48"/>
  <c r="T26" i="48" s="1"/>
  <c r="P26" i="48"/>
  <c r="N26" i="48"/>
  <c r="O26" i="48" s="1"/>
  <c r="L26" i="48"/>
  <c r="K26" i="48"/>
  <c r="U22" i="48"/>
  <c r="T22" i="48"/>
  <c r="N22" i="48"/>
  <c r="U21" i="48"/>
  <c r="T21" i="48"/>
  <c r="N21" i="48"/>
  <c r="U20" i="48"/>
  <c r="T20" i="48"/>
  <c r="N20" i="48"/>
  <c r="N19" i="48" s="1"/>
  <c r="T19" i="48"/>
  <c r="S19" i="48"/>
  <c r="U19" i="48" s="1"/>
  <c r="R19" i="48"/>
  <c r="Q19" i="48"/>
  <c r="P19" i="48"/>
  <c r="L19" i="48"/>
  <c r="U18" i="48"/>
  <c r="T18" i="48"/>
  <c r="N18" i="48"/>
  <c r="U17" i="48"/>
  <c r="T17" i="48"/>
  <c r="N17" i="48"/>
  <c r="U16" i="48"/>
  <c r="T16" i="48"/>
  <c r="N16" i="48"/>
  <c r="N14" i="48" s="1"/>
  <c r="O14" i="48" s="1"/>
  <c r="U15" i="48"/>
  <c r="T15" i="48"/>
  <c r="N15" i="48"/>
  <c r="S14" i="48"/>
  <c r="R14" i="48"/>
  <c r="U14" i="48" s="1"/>
  <c r="Q14" i="48"/>
  <c r="T14" i="48" s="1"/>
  <c r="P14" i="48"/>
  <c r="L14" i="48"/>
  <c r="U13" i="48"/>
  <c r="T13" i="48"/>
  <c r="N13" i="48"/>
  <c r="U12" i="48"/>
  <c r="T12" i="48"/>
  <c r="N12" i="48"/>
  <c r="N11" i="48" s="1"/>
  <c r="O11" i="48" s="1"/>
  <c r="U11" i="48"/>
  <c r="T11" i="48"/>
  <c r="S11" i="48"/>
  <c r="R11" i="48"/>
  <c r="Q11" i="48"/>
  <c r="P11" i="48"/>
  <c r="M11" i="48"/>
  <c r="L11" i="48"/>
  <c r="T17" i="59" l="1"/>
  <c r="O17" i="59"/>
  <c r="T14" i="59"/>
  <c r="O14" i="59"/>
  <c r="Q50" i="59"/>
  <c r="O181" i="48"/>
  <c r="O65" i="48"/>
  <c r="U180" i="48"/>
  <c r="O50" i="48"/>
  <c r="T48" i="48"/>
  <c r="T75" i="48"/>
  <c r="Q180" i="48"/>
  <c r="T180" i="48" s="1"/>
  <c r="U32" i="48"/>
  <c r="T50" i="48"/>
  <c r="T170" i="48"/>
  <c r="U68" i="48"/>
  <c r="O71" i="48"/>
  <c r="G180" i="48" s="1"/>
  <c r="T46" i="48"/>
  <c r="O19" i="48"/>
  <c r="O180" i="48" l="1"/>
  <c r="E14" i="5" l="1"/>
  <c r="D14" i="5"/>
  <c r="C14" i="5"/>
  <c r="U25" i="47"/>
  <c r="U26" i="47"/>
  <c r="O45" i="47"/>
  <c r="O41" i="47"/>
  <c r="N45" i="47"/>
  <c r="U51" i="47"/>
  <c r="T51" i="47"/>
  <c r="G51" i="47"/>
  <c r="C51" i="47"/>
  <c r="U49" i="47"/>
  <c r="T49" i="47"/>
  <c r="U48" i="47"/>
  <c r="T48" i="47"/>
  <c r="U47" i="47"/>
  <c r="T47" i="47"/>
  <c r="U46" i="47"/>
  <c r="T46" i="47"/>
  <c r="S45" i="47"/>
  <c r="R45" i="47"/>
  <c r="U45" i="47" s="1"/>
  <c r="Q45" i="47"/>
  <c r="T45" i="47" s="1"/>
  <c r="P45" i="47"/>
  <c r="L45" i="47"/>
  <c r="U42" i="47"/>
  <c r="T42" i="47"/>
  <c r="S41" i="47"/>
  <c r="R41" i="47"/>
  <c r="U41" i="47" s="1"/>
  <c r="Q41" i="47"/>
  <c r="P41" i="47"/>
  <c r="N41" i="47"/>
  <c r="O52" i="47" s="1"/>
  <c r="M41" i="47"/>
  <c r="L41" i="47"/>
  <c r="K41" i="47"/>
  <c r="U39" i="47"/>
  <c r="T39" i="47"/>
  <c r="U38" i="47"/>
  <c r="T38" i="47"/>
  <c r="S37" i="47"/>
  <c r="R37" i="47"/>
  <c r="U37" i="47" s="1"/>
  <c r="Q37" i="47"/>
  <c r="P37" i="47"/>
  <c r="O37" i="47"/>
  <c r="N37" i="47"/>
  <c r="M37" i="47"/>
  <c r="L37" i="47"/>
  <c r="R35" i="47"/>
  <c r="U35" i="47" s="1"/>
  <c r="Q35" i="47"/>
  <c r="T35" i="47" s="1"/>
  <c r="S34" i="47"/>
  <c r="R34" i="47"/>
  <c r="Q34" i="47"/>
  <c r="T34" i="47" s="1"/>
  <c r="M34" i="47"/>
  <c r="M32" i="47" s="1"/>
  <c r="S33" i="47"/>
  <c r="R33" i="47"/>
  <c r="T33" i="47" s="1"/>
  <c r="Q33" i="47"/>
  <c r="P32" i="47"/>
  <c r="N32" i="47"/>
  <c r="K32" i="47"/>
  <c r="U30" i="47"/>
  <c r="T30" i="47"/>
  <c r="U29" i="47"/>
  <c r="T29" i="47"/>
  <c r="S28" i="47"/>
  <c r="R28" i="47"/>
  <c r="U28" i="47" s="1"/>
  <c r="Q28" i="47"/>
  <c r="T28" i="47" s="1"/>
  <c r="P28" i="47"/>
  <c r="N28" i="47"/>
  <c r="O28" i="47" s="1"/>
  <c r="M28" i="47"/>
  <c r="L28" i="47"/>
  <c r="T26" i="47"/>
  <c r="T25" i="47"/>
  <c r="S24" i="47"/>
  <c r="R24" i="47"/>
  <c r="U24" i="47" s="1"/>
  <c r="Q24" i="47"/>
  <c r="T24" i="47" s="1"/>
  <c r="P24" i="47"/>
  <c r="N24" i="47"/>
  <c r="O24" i="47" s="1"/>
  <c r="M24" i="47"/>
  <c r="L24" i="47"/>
  <c r="U21" i="47"/>
  <c r="T21" i="47"/>
  <c r="U20" i="47"/>
  <c r="T20" i="47"/>
  <c r="S19" i="47"/>
  <c r="R19" i="47"/>
  <c r="U19" i="47" s="1"/>
  <c r="Q19" i="47"/>
  <c r="P19" i="47"/>
  <c r="N19" i="47"/>
  <c r="O19" i="47" s="1"/>
  <c r="M19" i="47"/>
  <c r="L19" i="47"/>
  <c r="U17" i="47"/>
  <c r="T17" i="47"/>
  <c r="U16" i="47"/>
  <c r="T16" i="47"/>
  <c r="U15" i="47"/>
  <c r="T15" i="47"/>
  <c r="U14" i="47"/>
  <c r="T14" i="47"/>
  <c r="U13" i="47"/>
  <c r="T13" i="47"/>
  <c r="U12" i="47"/>
  <c r="T12" i="47"/>
  <c r="S11" i="47"/>
  <c r="R11" i="47"/>
  <c r="U11" i="47" s="1"/>
  <c r="Q11" i="47"/>
  <c r="P11" i="47"/>
  <c r="N11" i="47"/>
  <c r="O11" i="47" s="1"/>
  <c r="M11" i="47"/>
  <c r="L11" i="47"/>
  <c r="K11" i="47"/>
  <c r="E13" i="5"/>
  <c r="D13" i="5"/>
  <c r="C13" i="5"/>
  <c r="O24" i="46"/>
  <c r="C23" i="46"/>
  <c r="U21" i="46"/>
  <c r="T21" i="46"/>
  <c r="S20" i="46"/>
  <c r="R20" i="46"/>
  <c r="U20" i="46" s="1"/>
  <c r="Q20" i="46"/>
  <c r="T20" i="46" s="1"/>
  <c r="P20" i="46"/>
  <c r="O20" i="46"/>
  <c r="N20" i="46"/>
  <c r="L20" i="46"/>
  <c r="U17" i="46"/>
  <c r="T17" i="46"/>
  <c r="U16" i="46"/>
  <c r="T16" i="46"/>
  <c r="S15" i="46"/>
  <c r="R15" i="46"/>
  <c r="U15" i="46" s="1"/>
  <c r="Q15" i="46"/>
  <c r="T15" i="46" s="1"/>
  <c r="P15" i="46"/>
  <c r="O15" i="46"/>
  <c r="N15" i="46"/>
  <c r="M15" i="46"/>
  <c r="L15" i="46"/>
  <c r="U13" i="46"/>
  <c r="T13" i="46"/>
  <c r="U12" i="46"/>
  <c r="T12" i="46"/>
  <c r="S11" i="46"/>
  <c r="S23" i="46" s="1"/>
  <c r="R11" i="46"/>
  <c r="R23" i="46" s="1"/>
  <c r="U23" i="46" s="1"/>
  <c r="Q11" i="46"/>
  <c r="Q23" i="46" s="1"/>
  <c r="T23" i="46" s="1"/>
  <c r="P11" i="46"/>
  <c r="P23" i="46" s="1"/>
  <c r="O11" i="46"/>
  <c r="O23" i="46" s="1"/>
  <c r="N11" i="46"/>
  <c r="M11" i="46"/>
  <c r="G23" i="46" s="1"/>
  <c r="L11" i="46"/>
  <c r="K11" i="46"/>
  <c r="O51" i="47" l="1"/>
  <c r="U33" i="47"/>
  <c r="R32" i="47"/>
  <c r="S32" i="47"/>
  <c r="P51" i="47"/>
  <c r="T11" i="47"/>
  <c r="T41" i="47"/>
  <c r="T19" i="47"/>
  <c r="T37" i="47"/>
  <c r="S51" i="47"/>
  <c r="U34" i="47"/>
  <c r="Q32" i="47"/>
  <c r="R51" i="47"/>
  <c r="T11" i="46"/>
  <c r="U11" i="46"/>
  <c r="U32" i="47" l="1"/>
  <c r="O32" i="47"/>
  <c r="T32" i="47"/>
  <c r="Q51" i="47"/>
  <c r="U13" i="45"/>
  <c r="T13" i="45"/>
  <c r="U12" i="45"/>
  <c r="T12" i="45"/>
  <c r="S11" i="45"/>
  <c r="R11" i="45"/>
  <c r="U11" i="45" s="1"/>
  <c r="Q11" i="45"/>
  <c r="T11" i="45" s="1"/>
  <c r="P11" i="45"/>
  <c r="O11" i="45"/>
  <c r="N11" i="45"/>
  <c r="L11" i="45"/>
  <c r="E10" i="5" l="1"/>
  <c r="D10" i="5"/>
  <c r="C10" i="5"/>
  <c r="C42" i="42"/>
  <c r="U40" i="42"/>
  <c r="T40" i="42"/>
  <c r="U39" i="42"/>
  <c r="T39" i="42"/>
  <c r="S38" i="42"/>
  <c r="R38" i="42"/>
  <c r="U38" i="42" s="1"/>
  <c r="Q38" i="42"/>
  <c r="T38" i="42" s="1"/>
  <c r="P38" i="42"/>
  <c r="N38" i="42"/>
  <c r="O38" i="42" s="1"/>
  <c r="L38" i="42"/>
  <c r="U35" i="42"/>
  <c r="T35" i="42"/>
  <c r="U34" i="42"/>
  <c r="T34" i="42"/>
  <c r="U33" i="42"/>
  <c r="S33" i="42"/>
  <c r="R33" i="42"/>
  <c r="Q33" i="42"/>
  <c r="T33" i="42" s="1"/>
  <c r="P33" i="42"/>
  <c r="N33" i="42"/>
  <c r="O33" i="42" s="1"/>
  <c r="L33" i="42"/>
  <c r="U31" i="42"/>
  <c r="T31" i="42"/>
  <c r="U30" i="42"/>
  <c r="T30" i="42"/>
  <c r="S30" i="42"/>
  <c r="R30" i="42"/>
  <c r="Q30" i="42"/>
  <c r="P30" i="42"/>
  <c r="N30" i="42"/>
  <c r="O30" i="42" s="1"/>
  <c r="L30" i="42"/>
  <c r="U26" i="42"/>
  <c r="T26" i="42"/>
  <c r="U25" i="42"/>
  <c r="T25" i="42"/>
  <c r="S24" i="42"/>
  <c r="R24" i="42"/>
  <c r="Q24" i="42"/>
  <c r="P24" i="42"/>
  <c r="N24" i="42"/>
  <c r="O24" i="42" s="1"/>
  <c r="L24" i="42"/>
  <c r="U22" i="42"/>
  <c r="T22" i="42"/>
  <c r="U21" i="42"/>
  <c r="T21" i="42"/>
  <c r="S20" i="42"/>
  <c r="R20" i="42"/>
  <c r="Q20" i="42"/>
  <c r="T20" i="42" s="1"/>
  <c r="P20" i="42"/>
  <c r="P42" i="42" s="1"/>
  <c r="N20" i="42"/>
  <c r="L20" i="42"/>
  <c r="U18" i="42"/>
  <c r="T18" i="42"/>
  <c r="U17" i="42"/>
  <c r="T17" i="42"/>
  <c r="S16" i="42"/>
  <c r="R16" i="42"/>
  <c r="Q16" i="42"/>
  <c r="T16" i="42" s="1"/>
  <c r="P16" i="42"/>
  <c r="N16" i="42"/>
  <c r="O16" i="42" s="1"/>
  <c r="L16" i="42"/>
  <c r="U12" i="42"/>
  <c r="T12" i="42"/>
  <c r="U11" i="42"/>
  <c r="S11" i="42"/>
  <c r="R11" i="42"/>
  <c r="Q11" i="42"/>
  <c r="T11" i="42" s="1"/>
  <c r="P11" i="42"/>
  <c r="N11" i="42"/>
  <c r="O11" i="42" s="1"/>
  <c r="L11" i="42"/>
  <c r="U24" i="42" l="1"/>
  <c r="U20" i="42"/>
  <c r="S42" i="42"/>
  <c r="S44" i="42" s="1"/>
  <c r="R42" i="42"/>
  <c r="R44" i="42" s="1"/>
  <c r="O43" i="42"/>
  <c r="O42" i="42"/>
  <c r="G42" i="42"/>
  <c r="U16" i="42"/>
  <c r="O20" i="42"/>
  <c r="T24" i="42"/>
  <c r="Q42" i="42"/>
  <c r="U42" i="42" l="1"/>
  <c r="Q44" i="42"/>
  <c r="T42" i="42"/>
  <c r="E11" i="5" l="1"/>
  <c r="D11" i="5"/>
  <c r="C11" i="5"/>
  <c r="G23" i="43"/>
  <c r="C23" i="43"/>
  <c r="U21" i="43"/>
  <c r="T21" i="43"/>
  <c r="U20" i="43"/>
  <c r="T20" i="43"/>
  <c r="U19" i="43"/>
  <c r="T19" i="43"/>
  <c r="O19" i="43"/>
  <c r="U18" i="43"/>
  <c r="T18" i="43"/>
  <c r="S18" i="43"/>
  <c r="R18" i="43"/>
  <c r="R23" i="43" s="1"/>
  <c r="Q18" i="43"/>
  <c r="Q23" i="43" s="1"/>
  <c r="T23" i="43" s="1"/>
  <c r="P18" i="43"/>
  <c r="N18" i="43"/>
  <c r="L18" i="43"/>
  <c r="U15" i="43"/>
  <c r="T15" i="43"/>
  <c r="U14" i="43"/>
  <c r="T14" i="43"/>
  <c r="U13" i="43"/>
  <c r="T13" i="43"/>
  <c r="U12" i="43"/>
  <c r="T12" i="43"/>
  <c r="O12" i="43"/>
  <c r="O23" i="43" s="1"/>
  <c r="T11" i="43"/>
  <c r="S11" i="43"/>
  <c r="S23" i="43" s="1"/>
  <c r="R11" i="43"/>
  <c r="Q11" i="43"/>
  <c r="P11" i="43"/>
  <c r="P23" i="43" s="1"/>
  <c r="N11" i="43"/>
  <c r="L11" i="43"/>
  <c r="E15" i="5"/>
  <c r="D15" i="5"/>
  <c r="C15" i="5"/>
  <c r="C140" i="41"/>
  <c r="U138" i="41"/>
  <c r="T138" i="41"/>
  <c r="U137" i="41"/>
  <c r="T137" i="41"/>
  <c r="T136" i="41"/>
  <c r="S136" i="41"/>
  <c r="U136" i="41" s="1"/>
  <c r="R136" i="41"/>
  <c r="Q136" i="41"/>
  <c r="P136" i="41"/>
  <c r="N136" i="41"/>
  <c r="O136" i="41" s="1"/>
  <c r="M136" i="41"/>
  <c r="L136" i="41"/>
  <c r="K136" i="41"/>
  <c r="U133" i="41"/>
  <c r="T133" i="41"/>
  <c r="T132" i="41"/>
  <c r="S132" i="41"/>
  <c r="U132" i="41" s="1"/>
  <c r="R132" i="41"/>
  <c r="Q132" i="41"/>
  <c r="O132" i="41" s="1"/>
  <c r="P132" i="41"/>
  <c r="N132" i="41"/>
  <c r="M132" i="41"/>
  <c r="L132" i="41"/>
  <c r="K132" i="41"/>
  <c r="U130" i="41"/>
  <c r="T130" i="41"/>
  <c r="S129" i="41"/>
  <c r="R129" i="41"/>
  <c r="U129" i="41" s="1"/>
  <c r="Q129" i="41"/>
  <c r="O129" i="41" s="1"/>
  <c r="P129" i="41"/>
  <c r="N129" i="41"/>
  <c r="M129" i="41"/>
  <c r="L129" i="41"/>
  <c r="K129" i="41"/>
  <c r="U127" i="41"/>
  <c r="T127" i="41"/>
  <c r="S126" i="41"/>
  <c r="R126" i="41"/>
  <c r="U126" i="41" s="1"/>
  <c r="Q126" i="41"/>
  <c r="T126" i="41" s="1"/>
  <c r="P126" i="41"/>
  <c r="N126" i="41"/>
  <c r="O126" i="41" s="1"/>
  <c r="M126" i="41"/>
  <c r="L126" i="41"/>
  <c r="K126" i="41"/>
  <c r="U124" i="41"/>
  <c r="T124" i="41"/>
  <c r="U123" i="41"/>
  <c r="T123" i="41"/>
  <c r="S122" i="41"/>
  <c r="R122" i="41"/>
  <c r="U122" i="41" s="1"/>
  <c r="Q122" i="41"/>
  <c r="T122" i="41" s="1"/>
  <c r="P122" i="41"/>
  <c r="N122" i="41"/>
  <c r="O122" i="41" s="1"/>
  <c r="M122" i="41"/>
  <c r="L122" i="41"/>
  <c r="K122" i="41"/>
  <c r="U120" i="41"/>
  <c r="T120" i="41"/>
  <c r="U119" i="41"/>
  <c r="T119" i="41"/>
  <c r="U118" i="41"/>
  <c r="T118" i="41"/>
  <c r="U117" i="41"/>
  <c r="T117" i="41"/>
  <c r="S116" i="41"/>
  <c r="R116" i="41"/>
  <c r="U116" i="41" s="1"/>
  <c r="Q116" i="41"/>
  <c r="T116" i="41" s="1"/>
  <c r="P116" i="41"/>
  <c r="O116" i="41"/>
  <c r="N116" i="41"/>
  <c r="M116" i="41"/>
  <c r="L116" i="41"/>
  <c r="K116" i="41"/>
  <c r="U114" i="41"/>
  <c r="T114" i="41"/>
  <c r="U113" i="41"/>
  <c r="T113" i="41"/>
  <c r="U112" i="41"/>
  <c r="T112" i="41"/>
  <c r="S111" i="41"/>
  <c r="R111" i="41"/>
  <c r="U111" i="41" s="1"/>
  <c r="Q111" i="41"/>
  <c r="O111" i="41" s="1"/>
  <c r="P111" i="41"/>
  <c r="N111" i="41"/>
  <c r="M111" i="41"/>
  <c r="L111" i="41"/>
  <c r="K111" i="41"/>
  <c r="U109" i="41"/>
  <c r="U108" i="41"/>
  <c r="T108" i="41"/>
  <c r="U107" i="41"/>
  <c r="T107" i="41"/>
  <c r="U106" i="41"/>
  <c r="T106" i="41"/>
  <c r="S105" i="41"/>
  <c r="R105" i="41"/>
  <c r="T105" i="41" s="1"/>
  <c r="Q105" i="41"/>
  <c r="P105" i="41"/>
  <c r="O105" i="41"/>
  <c r="N105" i="41"/>
  <c r="M105" i="41"/>
  <c r="L105" i="41"/>
  <c r="U103" i="41"/>
  <c r="T103" i="41"/>
  <c r="U102" i="41"/>
  <c r="T102" i="41"/>
  <c r="S101" i="41"/>
  <c r="R101" i="41"/>
  <c r="U101" i="41" s="1"/>
  <c r="Q101" i="41"/>
  <c r="O101" i="41" s="1"/>
  <c r="P101" i="41"/>
  <c r="N101" i="41"/>
  <c r="M101" i="41"/>
  <c r="L101" i="41"/>
  <c r="K101" i="41"/>
  <c r="U99" i="41"/>
  <c r="T99" i="41"/>
  <c r="U98" i="41"/>
  <c r="T98" i="41"/>
  <c r="U97" i="41"/>
  <c r="T97" i="41"/>
  <c r="S96" i="41"/>
  <c r="R96" i="41"/>
  <c r="U96" i="41" s="1"/>
  <c r="Q96" i="41"/>
  <c r="O96" i="41" s="1"/>
  <c r="P96" i="41"/>
  <c r="N96" i="41"/>
  <c r="M96" i="41"/>
  <c r="L96" i="41"/>
  <c r="K96" i="41"/>
  <c r="U94" i="41"/>
  <c r="T94" i="41"/>
  <c r="U93" i="41"/>
  <c r="T93" i="41"/>
  <c r="S92" i="41"/>
  <c r="R92" i="41"/>
  <c r="U92" i="41" s="1"/>
  <c r="Q92" i="41"/>
  <c r="O92" i="41" s="1"/>
  <c r="P92" i="41"/>
  <c r="N92" i="41"/>
  <c r="M92" i="41"/>
  <c r="L92" i="41"/>
  <c r="K92" i="41"/>
  <c r="U91" i="41"/>
  <c r="T91" i="41"/>
  <c r="U90" i="41"/>
  <c r="T90" i="41"/>
  <c r="S89" i="41"/>
  <c r="R89" i="41"/>
  <c r="U89" i="41" s="1"/>
  <c r="Q89" i="41"/>
  <c r="T89" i="41" s="1"/>
  <c r="P89" i="41"/>
  <c r="O89" i="41"/>
  <c r="N89" i="41"/>
  <c r="M89" i="41"/>
  <c r="L89" i="41"/>
  <c r="U86" i="41"/>
  <c r="T86" i="41"/>
  <c r="U85" i="41"/>
  <c r="T85" i="41"/>
  <c r="U84" i="41"/>
  <c r="T84" i="41"/>
  <c r="S83" i="41"/>
  <c r="R83" i="41"/>
  <c r="U83" i="41" s="1"/>
  <c r="Q83" i="41"/>
  <c r="T83" i="41" s="1"/>
  <c r="P83" i="41"/>
  <c r="O83" i="41"/>
  <c r="N83" i="41"/>
  <c r="M83" i="41"/>
  <c r="L83" i="41"/>
  <c r="K83" i="41"/>
  <c r="U81" i="41"/>
  <c r="T81" i="41"/>
  <c r="S80" i="41"/>
  <c r="R80" i="41"/>
  <c r="U80" i="41" s="1"/>
  <c r="Q80" i="41"/>
  <c r="T80" i="41" s="1"/>
  <c r="P80" i="41"/>
  <c r="N80" i="41"/>
  <c r="O80" i="41" s="1"/>
  <c r="M80" i="41"/>
  <c r="K80" i="41"/>
  <c r="U78" i="41"/>
  <c r="T78" i="41"/>
  <c r="U77" i="41"/>
  <c r="S77" i="41"/>
  <c r="R77" i="41"/>
  <c r="Q77" i="41"/>
  <c r="T77" i="41" s="1"/>
  <c r="P77" i="41"/>
  <c r="N77" i="41"/>
  <c r="O77" i="41" s="1"/>
  <c r="M77" i="41"/>
  <c r="L77" i="41"/>
  <c r="K77" i="41"/>
  <c r="U75" i="41"/>
  <c r="T75" i="41"/>
  <c r="S74" i="41"/>
  <c r="R74" i="41"/>
  <c r="Q74" i="41"/>
  <c r="O74" i="41" s="1"/>
  <c r="P74" i="41"/>
  <c r="N74" i="41"/>
  <c r="M74" i="41"/>
  <c r="U73" i="41"/>
  <c r="T73" i="41"/>
  <c r="U72" i="41"/>
  <c r="T72" i="41"/>
  <c r="U71" i="41"/>
  <c r="T71" i="41"/>
  <c r="S70" i="41"/>
  <c r="R70" i="41"/>
  <c r="U70" i="41" s="1"/>
  <c r="Q70" i="41"/>
  <c r="P70" i="41"/>
  <c r="O70" i="41"/>
  <c r="N70" i="41"/>
  <c r="M70" i="41"/>
  <c r="L70" i="41"/>
  <c r="K70" i="41"/>
  <c r="U65" i="41"/>
  <c r="T65" i="41"/>
  <c r="U64" i="41"/>
  <c r="T64" i="41"/>
  <c r="S63" i="41"/>
  <c r="R63" i="41"/>
  <c r="U63" i="41" s="1"/>
  <c r="Q63" i="41"/>
  <c r="O63" i="41" s="1"/>
  <c r="P63" i="41"/>
  <c r="N63" i="41"/>
  <c r="M63" i="41"/>
  <c r="K63" i="41"/>
  <c r="U58" i="41"/>
  <c r="T58" i="41"/>
  <c r="U57" i="41"/>
  <c r="T57" i="41"/>
  <c r="U56" i="41"/>
  <c r="T56" i="41"/>
  <c r="S55" i="41"/>
  <c r="R55" i="41"/>
  <c r="U55" i="41" s="1"/>
  <c r="Q55" i="41"/>
  <c r="O55" i="41" s="1"/>
  <c r="P55" i="41"/>
  <c r="N55" i="41"/>
  <c r="M55" i="41"/>
  <c r="L55" i="41"/>
  <c r="K55" i="41"/>
  <c r="U51" i="41"/>
  <c r="T51" i="41"/>
  <c r="S50" i="41"/>
  <c r="R50" i="41"/>
  <c r="U50" i="41" s="1"/>
  <c r="Q50" i="41"/>
  <c r="T50" i="41" s="1"/>
  <c r="P50" i="41"/>
  <c r="N50" i="41"/>
  <c r="O50" i="41" s="1"/>
  <c r="M50" i="41"/>
  <c r="L50" i="41"/>
  <c r="K50" i="41"/>
  <c r="U45" i="41"/>
  <c r="T45" i="41"/>
  <c r="U44" i="41"/>
  <c r="T44" i="41"/>
  <c r="S43" i="41"/>
  <c r="R43" i="41"/>
  <c r="U43" i="41" s="1"/>
  <c r="Q43" i="41"/>
  <c r="T43" i="41" s="1"/>
  <c r="P43" i="41"/>
  <c r="N43" i="41"/>
  <c r="O43" i="41" s="1"/>
  <c r="L43" i="41"/>
  <c r="K43" i="41"/>
  <c r="U41" i="41"/>
  <c r="T41" i="41"/>
  <c r="S40" i="41"/>
  <c r="R40" i="41"/>
  <c r="U40" i="41" s="1"/>
  <c r="Q40" i="41"/>
  <c r="T40" i="41" s="1"/>
  <c r="P40" i="41"/>
  <c r="N40" i="41"/>
  <c r="O40" i="41" s="1"/>
  <c r="M40" i="41"/>
  <c r="L40" i="41"/>
  <c r="K40" i="41"/>
  <c r="U37" i="41"/>
  <c r="T37" i="41"/>
  <c r="U36" i="41"/>
  <c r="T36" i="41"/>
  <c r="U35" i="41"/>
  <c r="S35" i="41"/>
  <c r="R35" i="41"/>
  <c r="Q35" i="41"/>
  <c r="T35" i="41" s="1"/>
  <c r="P35" i="41"/>
  <c r="N35" i="41"/>
  <c r="O35" i="41" s="1"/>
  <c r="M35" i="41"/>
  <c r="L35" i="41"/>
  <c r="U32" i="41"/>
  <c r="T32" i="41"/>
  <c r="U31" i="41"/>
  <c r="T31" i="41"/>
  <c r="S31" i="41"/>
  <c r="R31" i="41"/>
  <c r="Q31" i="41"/>
  <c r="O31" i="41" s="1"/>
  <c r="P31" i="41"/>
  <c r="N31" i="41"/>
  <c r="M31" i="41"/>
  <c r="L31" i="41"/>
  <c r="K31" i="41"/>
  <c r="U28" i="41"/>
  <c r="T28" i="41"/>
  <c r="S27" i="41"/>
  <c r="R27" i="41"/>
  <c r="U27" i="41" s="1"/>
  <c r="Q27" i="41"/>
  <c r="O27" i="41" s="1"/>
  <c r="P27" i="41"/>
  <c r="N27" i="41"/>
  <c r="M27" i="41"/>
  <c r="L27" i="41"/>
  <c r="K27" i="41"/>
  <c r="U25" i="41"/>
  <c r="T25" i="41"/>
  <c r="S24" i="41"/>
  <c r="R24" i="41"/>
  <c r="U24" i="41" s="1"/>
  <c r="Q24" i="41"/>
  <c r="T24" i="41" s="1"/>
  <c r="P24" i="41"/>
  <c r="N24" i="41"/>
  <c r="O24" i="41" s="1"/>
  <c r="M24" i="41"/>
  <c r="L24" i="41"/>
  <c r="K24" i="41"/>
  <c r="U22" i="41"/>
  <c r="T22" i="41"/>
  <c r="S21" i="41"/>
  <c r="R21" i="41"/>
  <c r="U21" i="41" s="1"/>
  <c r="Q21" i="41"/>
  <c r="T21" i="41" s="1"/>
  <c r="P21" i="41"/>
  <c r="N21" i="41"/>
  <c r="O21" i="41" s="1"/>
  <c r="M21" i="41"/>
  <c r="L21" i="41"/>
  <c r="K21" i="41"/>
  <c r="U16" i="41"/>
  <c r="T16" i="41"/>
  <c r="U15" i="41"/>
  <c r="T15" i="41"/>
  <c r="S14" i="41"/>
  <c r="S140" i="41" s="1"/>
  <c r="S142" i="41" s="1"/>
  <c r="R14" i="41"/>
  <c r="U14" i="41" s="1"/>
  <c r="Q14" i="41"/>
  <c r="T14" i="41" s="1"/>
  <c r="P14" i="41"/>
  <c r="P140" i="41" s="1"/>
  <c r="P142" i="41" s="1"/>
  <c r="N14" i="41"/>
  <c r="O14" i="41" s="1"/>
  <c r="M14" i="41"/>
  <c r="L14" i="41"/>
  <c r="K14" i="41"/>
  <c r="U12" i="41"/>
  <c r="T12" i="41"/>
  <c r="U11" i="41"/>
  <c r="T11" i="41"/>
  <c r="S11" i="41"/>
  <c r="R11" i="41"/>
  <c r="Q11" i="41"/>
  <c r="P11" i="41"/>
  <c r="N11" i="41"/>
  <c r="O11" i="41" s="1"/>
  <c r="M11" i="41"/>
  <c r="L11" i="41"/>
  <c r="K11" i="41"/>
  <c r="U23" i="43" l="1"/>
  <c r="O24" i="43"/>
  <c r="U11" i="43"/>
  <c r="O141" i="41"/>
  <c r="O140" i="41"/>
  <c r="G140" i="41"/>
  <c r="T70" i="41"/>
  <c r="T27" i="41"/>
  <c r="T55" i="41"/>
  <c r="T63" i="41"/>
  <c r="T96" i="41"/>
  <c r="U105" i="41"/>
  <c r="T92" i="41"/>
  <c r="T101" i="41"/>
  <c r="T111" i="41"/>
  <c r="T129" i="41"/>
  <c r="Q140" i="41"/>
  <c r="Q142" i="41" s="1"/>
  <c r="R140" i="41"/>
  <c r="R142" i="41" s="1"/>
  <c r="O18" i="77" l="1"/>
  <c r="S17" i="77"/>
  <c r="R17" i="77"/>
  <c r="U17" i="77" s="1"/>
  <c r="Q17" i="77"/>
  <c r="T17" i="77" s="1"/>
  <c r="P17" i="77"/>
  <c r="O17" i="77"/>
  <c r="E36" i="5" s="1"/>
  <c r="G17" i="77"/>
  <c r="D36" i="5" s="1"/>
  <c r="C17" i="77"/>
  <c r="Q15" i="45"/>
  <c r="P15" i="45"/>
  <c r="C15" i="45"/>
  <c r="C12" i="5" s="1"/>
  <c r="S15" i="45"/>
  <c r="I38" i="5"/>
  <c r="H38" i="5"/>
  <c r="G38" i="5"/>
  <c r="J38" i="5" s="1"/>
  <c r="B53" i="5" s="1"/>
  <c r="F38" i="5"/>
  <c r="K36" i="5"/>
  <c r="J36" i="5"/>
  <c r="C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3" i="5"/>
  <c r="J13" i="5"/>
  <c r="K12" i="5"/>
  <c r="J12" i="5"/>
  <c r="K11" i="5"/>
  <c r="J11" i="5"/>
  <c r="K10" i="5"/>
  <c r="J10" i="5"/>
  <c r="K38" i="5" l="1"/>
  <c r="B70" i="5" s="1"/>
  <c r="B74" i="5" s="1"/>
  <c r="B57" i="5"/>
  <c r="C57" i="5"/>
  <c r="O16" i="45"/>
  <c r="O15" i="45"/>
  <c r="G15" i="45"/>
  <c r="R15" i="45"/>
  <c r="U15" i="45" s="1"/>
  <c r="C74" i="5" l="1"/>
  <c r="C38" i="5"/>
  <c r="D12" i="5"/>
  <c r="E12" i="5"/>
  <c r="T15" i="45"/>
  <c r="D38" i="5" l="1"/>
  <c r="E38" i="5" l="1"/>
  <c r="G58" i="5" s="1"/>
  <c r="H62" i="5" s="1"/>
  <c r="G6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GUIDO ESCOBAR</author>
    <author>Guido Escobar Morales</author>
  </authors>
  <commentList>
    <comment ref="L5" authorId="0" shapeId="0" xr:uid="{00000000-0006-0000-02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2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2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2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2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2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200-000007000000}">
      <text>
        <r>
          <rPr>
            <b/>
            <sz val="9"/>
            <color indexed="81"/>
            <rFont val="Tahoma"/>
            <family val="2"/>
          </rPr>
          <t>GUIDO ESCOBAR:</t>
        </r>
        <r>
          <rPr>
            <sz val="9"/>
            <color indexed="81"/>
            <rFont val="Tahoma"/>
            <family val="2"/>
          </rPr>
          <t xml:space="preserve">
Formato Porcentaje, 1 decimal</t>
        </r>
      </text>
    </comment>
    <comment ref="F37" authorId="1" shapeId="0" xr:uid="{EA194EDE-33D4-4722-9FCD-65ADC079BF75}">
      <text>
        <r>
          <rPr>
            <b/>
            <sz val="9"/>
            <color indexed="81"/>
            <rFont val="Tahoma"/>
            <family val="2"/>
          </rPr>
          <t>Guido Escobar Morales:</t>
        </r>
        <r>
          <rPr>
            <sz val="9"/>
            <color indexed="81"/>
            <rFont val="Tahoma"/>
            <family val="2"/>
          </rPr>
          <t xml:space="preserve">
Meta cumplida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Norha Cecilia Espinosa Perez</author>
  </authors>
  <commentList>
    <comment ref="H172" authorId="0" shapeId="0" xr:uid="{EFE71554-DF2A-4688-9DC5-F2602F89B5F2}">
      <text>
        <r>
          <rPr>
            <b/>
            <sz val="9"/>
            <color indexed="81"/>
            <rFont val="Tahoma"/>
            <family val="2"/>
          </rPr>
          <t>Norha Cecilia Espinosa Perez:</t>
        </r>
        <r>
          <rPr>
            <sz val="9"/>
            <color indexed="81"/>
            <rFont val="Tahoma"/>
            <family val="2"/>
          </rPr>
          <t xml:space="preserve">
Calcular el indicador especifica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E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E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E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E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E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E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E00-000007000000}">
      <text>
        <r>
          <rPr>
            <b/>
            <sz val="9"/>
            <color indexed="81"/>
            <rFont val="Tahoma"/>
            <family val="2"/>
          </rPr>
          <t>GUIDO ESCOBAR:</t>
        </r>
        <r>
          <rPr>
            <sz val="9"/>
            <color indexed="81"/>
            <rFont val="Tahoma"/>
            <family val="2"/>
          </rPr>
          <t xml:space="preserve">
Formato Porcentaje, 1 decimal</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Tatiana Bedoya</author>
    <author>Manager</author>
    <author>Palacios Garces, Yerzon</author>
  </authors>
  <commentList>
    <comment ref="K78" authorId="0" shapeId="0" xr:uid="{61921464-ED64-42F5-A256-F6E2988773DC}">
      <text>
        <r>
          <rPr>
            <b/>
            <sz val="9"/>
            <color indexed="81"/>
            <rFont val="Tahoma"/>
            <family val="2"/>
          </rPr>
          <t>Yerzon Palacios:</t>
        </r>
        <r>
          <rPr>
            <sz val="9"/>
            <color indexed="81"/>
            <rFont val="Tahoma"/>
            <family val="2"/>
          </rPr>
          <t xml:space="preserve">
El aporte al indicador de plan de desarrollo se relaciona en la meta de producto de proyecto</t>
        </r>
      </text>
    </comment>
    <comment ref="H97" authorId="1" shapeId="0" xr:uid="{592296D1-FF21-4FB7-92F0-035393271FBB}">
      <text>
        <r>
          <rPr>
            <b/>
            <sz val="9"/>
            <color indexed="81"/>
            <rFont val="Tahoma"/>
            <family val="2"/>
          </rPr>
          <t xml:space="preserve">Yerzon Palacios:
</t>
        </r>
        <r>
          <rPr>
            <sz val="9"/>
            <color indexed="81"/>
            <rFont val="Tahoma"/>
            <family val="2"/>
          </rPr>
          <t>No suma  el BP26003676 de dotación,  se dotaran bibliotecas  que tendrán mantenimiento  en el producto A de este  BP.  Tampoco  suman  los mantenimientos o dotaciones con presupuesto  participativo, lo previsto en cada  BP complementara lo  realizado  con recursos de dependencia</t>
        </r>
      </text>
    </comment>
    <comment ref="K97" authorId="1" shapeId="0" xr:uid="{8D83C7BF-95B6-45E2-9752-01A32EAF713C}">
      <text>
        <r>
          <rPr>
            <b/>
            <sz val="9"/>
            <color indexed="81"/>
            <rFont val="Tahoma"/>
            <family val="2"/>
          </rPr>
          <t xml:space="preserve">Yerzon Palacios:
</t>
        </r>
        <r>
          <rPr>
            <sz val="9"/>
            <color indexed="81"/>
            <rFont val="Tahoma"/>
            <family val="2"/>
          </rPr>
          <t>No suma  el BP de dotación,  se dotaran bibliotecas  que tendrán mantenimiento  en el producto A de este  BP.  Tampoco  suman  los mantenimientos o dotaciones con presupuesto  participativo, lo previsto en cada  BP complementara lo  realizado  con recursos de dependencia</t>
        </r>
      </text>
    </comment>
    <comment ref="K112" authorId="1" shapeId="0" xr:uid="{AEAEAA54-D29F-47C3-A71E-CDFC5AD193BF}">
      <text>
        <r>
          <rPr>
            <b/>
            <sz val="9"/>
            <color indexed="81"/>
            <rFont val="Tahoma"/>
            <family val="2"/>
          </rPr>
          <t>Yerzon Palacios:</t>
        </r>
        <r>
          <rPr>
            <sz val="9"/>
            <color indexed="81"/>
            <rFont val="Tahoma"/>
            <family val="2"/>
          </rPr>
          <t xml:space="preserve">
el numero de  Bibliotecas  esta explicito en la descripción de la meta
</t>
        </r>
      </text>
    </comment>
    <comment ref="H121" authorId="1" shapeId="0" xr:uid="{0AE0B696-F063-4E4D-ADE9-402B927DE484}">
      <text>
        <r>
          <rPr>
            <b/>
            <sz val="9"/>
            <color indexed="81"/>
            <rFont val="Tahoma"/>
            <family val="2"/>
          </rPr>
          <t xml:space="preserve">Yerzon Palacios:
</t>
        </r>
        <r>
          <rPr>
            <sz val="9"/>
            <color indexed="81"/>
            <rFont val="Tahoma"/>
            <family val="2"/>
          </rPr>
          <t>No suma  el aporte . Del BP26003675,  el CH también se contempla en BP26002825, donde se suman 2 bienes.
No suma el aporte del BP26003841. Debido a que este bien tambien se contempla en el BP26002865</t>
        </r>
      </text>
    </comment>
    <comment ref="K121" authorId="1" shapeId="0" xr:uid="{D321D3B6-DC55-48C6-9613-CB7954F34B6C}">
      <text>
        <r>
          <rPr>
            <b/>
            <sz val="9"/>
            <color indexed="81"/>
            <rFont val="Tahoma"/>
            <family val="2"/>
          </rPr>
          <t xml:space="preserve">Yerzon Palacios
</t>
        </r>
        <r>
          <rPr>
            <sz val="9"/>
            <color indexed="81"/>
            <rFont val="Tahoma"/>
            <family val="2"/>
          </rPr>
          <t xml:space="preserve">El numero de  bienes  a conservar  esta implícito en la descripción de  las metas de los BP
</t>
        </r>
      </text>
    </comment>
    <comment ref="K125" authorId="1" shapeId="0" xr:uid="{8557DA7D-4245-4206-86E4-68A1A4CAC27F}">
      <text>
        <r>
          <rPr>
            <b/>
            <sz val="9"/>
            <color indexed="81"/>
            <rFont val="Tahoma"/>
            <family val="2"/>
          </rPr>
          <t xml:space="preserve">Yerzon Palacios
</t>
        </r>
        <r>
          <rPr>
            <sz val="9"/>
            <color indexed="81"/>
            <rFont val="Tahoma"/>
            <family val="2"/>
          </rPr>
          <t xml:space="preserve">El numero de  bienes  a conservar  esta implícito en la descripción de  las metas del BP
</t>
        </r>
      </text>
    </comment>
    <comment ref="K141" authorId="2" shapeId="0" xr:uid="{7483EB6D-0D84-45C6-9D32-6A48BB45A9EA}">
      <text>
        <r>
          <rPr>
            <b/>
            <sz val="9"/>
            <color indexed="81"/>
            <rFont val="Tahoma"/>
            <family val="2"/>
          </rPr>
          <t>Palacios Garces, Yerzon:</t>
        </r>
        <r>
          <rPr>
            <sz val="9"/>
            <color indexed="81"/>
            <rFont val="Tahoma"/>
            <family val="2"/>
          </rPr>
          <t xml:space="preserve">
Los tres productos de este proyecto le apuntan al  cumplimiento de  la meta de Plan de Desarrollo</t>
        </r>
      </text>
    </comment>
    <comment ref="K150" authorId="1" shapeId="0" xr:uid="{35E80A0C-D626-4EC2-A7B1-8F32692DE342}">
      <text>
        <r>
          <rPr>
            <b/>
            <sz val="9"/>
            <color indexed="81"/>
            <rFont val="Tahoma"/>
            <family val="2"/>
          </rPr>
          <t>Yerzon Palacios Garces</t>
        </r>
        <r>
          <rPr>
            <sz val="9"/>
            <color indexed="81"/>
            <rFont val="Tahoma"/>
            <family val="2"/>
          </rPr>
          <t xml:space="preserve">
El documento  normativo esta  integrado  por las  fichas  de caracterización, el Analís de los  hallazgos,  y la definición  del  estado del inventario de  bienes  muebles, a la fecha de corte
</t>
        </r>
      </text>
    </comment>
    <comment ref="K152" authorId="1" shapeId="0" xr:uid="{41B8C467-0699-47A2-BBF8-F0DEE4255A3F}">
      <text>
        <r>
          <rPr>
            <b/>
            <sz val="9"/>
            <color indexed="81"/>
            <rFont val="Tahoma"/>
            <family val="2"/>
          </rPr>
          <t>Deifan Arrechea
Todas  las actividades  se  relacionan  con la  conservación, divulgación y protección de la biblioteca del Centenario</t>
        </r>
        <r>
          <rPr>
            <sz val="9"/>
            <color indexed="81"/>
            <rFont val="Tahoma"/>
            <family val="2"/>
          </rPr>
          <t xml:space="preserve">
</t>
        </r>
      </text>
    </comment>
    <comment ref="K212" authorId="1" shapeId="0" xr:uid="{9A6A9967-3A1E-4AA6-BE56-82C6BDCBD28B}">
      <text>
        <r>
          <rPr>
            <b/>
            <sz val="9"/>
            <color indexed="81"/>
            <rFont val="Tahoma"/>
            <family val="2"/>
          </rPr>
          <t xml:space="preserve">YERZON PALACIOS
</t>
        </r>
        <r>
          <rPr>
            <sz val="9"/>
            <color indexed="81"/>
            <rFont val="Tahoma"/>
            <family val="2"/>
          </rPr>
          <t xml:space="preserve">El BP 2858, corresponde al espacio de población vulnerable
</t>
        </r>
      </text>
    </comment>
    <comment ref="K215" authorId="1" shapeId="0" xr:uid="{5DF81B07-D186-4561-8C6B-F984E3650474}">
      <text>
        <r>
          <rPr>
            <b/>
            <sz val="9"/>
            <color indexed="81"/>
            <rFont val="Tahoma"/>
            <family val="2"/>
          </rPr>
          <t xml:space="preserve">YERZON PALACIOS </t>
        </r>
        <r>
          <rPr>
            <sz val="9"/>
            <color indexed="81"/>
            <rFont val="Tahoma"/>
            <family val="2"/>
          </rPr>
          <t xml:space="preserve">con el bp 2880, se contempla el espacio de  población LGTBI
</t>
        </r>
      </text>
    </comment>
    <comment ref="K218" authorId="1" shapeId="0" xr:uid="{95737BB1-653B-40B1-83C9-359DD64EF04C}">
      <text>
        <r>
          <rPr>
            <b/>
            <sz val="9"/>
            <color indexed="81"/>
            <rFont val="Tahoma"/>
            <family val="2"/>
          </rPr>
          <t xml:space="preserve">Yerzon Palacios
</t>
        </r>
        <r>
          <rPr>
            <sz val="9"/>
            <color indexed="81"/>
            <rFont val="Tahoma"/>
            <family val="2"/>
          </rPr>
          <t xml:space="preserve">El BP 2883, corresponde al espacio de  mujeres
</t>
        </r>
      </text>
    </comment>
    <comment ref="H271" authorId="1" shapeId="0" xr:uid="{85B1A827-97D4-44BE-AC95-78982DF713A4}">
      <text>
        <r>
          <rPr>
            <b/>
            <sz val="9"/>
            <color indexed="81"/>
            <rFont val="Tahoma"/>
            <family val="2"/>
          </rPr>
          <t xml:space="preserve">Yerzon Palacios
</t>
        </r>
        <r>
          <rPr>
            <sz val="9"/>
            <color indexed="81"/>
            <rFont val="Tahoma"/>
            <family val="2"/>
          </rPr>
          <t>2 BP    asociados  al  indicador. no suma bp 2810, hace parte del proceso de gestión cultural</t>
        </r>
        <r>
          <rPr>
            <b/>
            <sz val="9"/>
            <color indexed="81"/>
            <rFont val="Tahoma"/>
            <family val="2"/>
          </rPr>
          <t xml:space="preserve">
</t>
        </r>
        <r>
          <rPr>
            <sz val="9"/>
            <color indexed="81"/>
            <rFont val="Tahoma"/>
            <family val="2"/>
          </rPr>
          <t xml:space="preserve">
</t>
        </r>
      </text>
    </comment>
    <comment ref="K275" authorId="1" shapeId="0" xr:uid="{E9E8309E-C7AD-4349-8F66-FB9345405427}">
      <text>
        <r>
          <rPr>
            <b/>
            <sz val="9"/>
            <color indexed="81"/>
            <rFont val="Tahoma"/>
            <family val="2"/>
          </rPr>
          <t>Yerzon Palacios</t>
        </r>
        <r>
          <rPr>
            <sz val="9"/>
            <color indexed="81"/>
            <rFont val="Tahoma"/>
            <family val="2"/>
          </rPr>
          <t xml:space="preserve">
Los  dos  sistemas   hacen parte  del proceso de gestión Cultural</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1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1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1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1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1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1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100-000007000000}">
      <text>
        <r>
          <rPr>
            <b/>
            <sz val="9"/>
            <color indexed="81"/>
            <rFont val="Tahoma"/>
            <family val="2"/>
          </rPr>
          <t>GUIDO ESCOBAR:</t>
        </r>
        <r>
          <rPr>
            <sz val="9"/>
            <color indexed="81"/>
            <rFont val="Tahoma"/>
            <family val="2"/>
          </rPr>
          <t xml:space="preserve">
Formato Porcentaje, 1 decimal</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2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2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2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2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2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2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200-000007000000}">
      <text>
        <r>
          <rPr>
            <b/>
            <sz val="9"/>
            <color indexed="81"/>
            <rFont val="Tahoma"/>
            <family val="2"/>
          </rPr>
          <t>GUIDO ESCOBAR:</t>
        </r>
        <r>
          <rPr>
            <sz val="9"/>
            <color indexed="81"/>
            <rFont val="Tahoma"/>
            <family val="2"/>
          </rPr>
          <t xml:space="preserve">
Formato Porcentaje, 1 decimal</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3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3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3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3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3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3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300-000007000000}">
      <text>
        <r>
          <rPr>
            <b/>
            <sz val="9"/>
            <color indexed="81"/>
            <rFont val="Tahoma"/>
            <family val="2"/>
          </rPr>
          <t>GUIDO ESCOBAR:</t>
        </r>
        <r>
          <rPr>
            <sz val="9"/>
            <color indexed="81"/>
            <rFont val="Tahoma"/>
            <family val="2"/>
          </rPr>
          <t xml:space="preserve">
Formato Porcentaje, 1 decimal</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Kathe</author>
  </authors>
  <commentList>
    <comment ref="J108" authorId="0" shapeId="0" xr:uid="{72E23630-C892-43C8-A70E-FD2FD453EAE1}">
      <text>
        <r>
          <rPr>
            <b/>
            <sz val="9"/>
            <color indexed="81"/>
            <rFont val="Tahoma"/>
            <family val="2"/>
          </rPr>
          <t>Kathe:</t>
        </r>
        <r>
          <rPr>
            <sz val="9"/>
            <color indexed="81"/>
            <rFont val="Tahoma"/>
            <family val="2"/>
          </rPr>
          <t xml:space="preserve">
Producto asociado solo a una actividad: "Realizar interventoría de los procesos de Adecuación de los escenarios deportivos y recreativos de Santiago de Cali"</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GUIDO ESCOBAR</author>
    <author>Administrator</author>
  </authors>
  <commentList>
    <comment ref="L5" authorId="0" shapeId="0" xr:uid="{00000000-0006-0000-17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7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700-000003000000}">
      <text>
        <r>
          <rPr>
            <b/>
            <sz val="9"/>
            <color indexed="81"/>
            <rFont val="Tahoma"/>
            <family val="2"/>
          </rPr>
          <t>GUIDO ESCOBAR:</t>
        </r>
        <r>
          <rPr>
            <sz val="9"/>
            <color indexed="81"/>
            <rFont val="Tahoma"/>
            <family val="2"/>
          </rPr>
          <t xml:space="preserve">
Formato Porcentaje, 1 decimal</t>
        </r>
      </text>
    </comment>
    <comment ref="P5" authorId="1" shapeId="0" xr:uid="{00000000-0006-0000-1700-000004000000}">
      <text>
        <r>
          <rPr>
            <b/>
            <sz val="9"/>
            <color indexed="81"/>
            <rFont val="Tahoma"/>
            <family val="2"/>
          </rPr>
          <t>Administrator:</t>
        </r>
        <r>
          <rPr>
            <sz val="9"/>
            <color indexed="81"/>
            <rFont val="Tahoma"/>
            <family val="2"/>
          </rPr>
          <t xml:space="preserve">
Formato número, 0 decimales</t>
        </r>
      </text>
    </comment>
    <comment ref="Q5" authorId="1" shapeId="0" xr:uid="{00000000-0006-0000-1700-000005000000}">
      <text>
        <r>
          <rPr>
            <b/>
            <sz val="9"/>
            <color indexed="81"/>
            <rFont val="Tahoma"/>
            <family val="2"/>
          </rPr>
          <t>Administrator:</t>
        </r>
        <r>
          <rPr>
            <sz val="9"/>
            <color indexed="81"/>
            <rFont val="Tahoma"/>
            <family val="2"/>
          </rPr>
          <t xml:space="preserve">
Formato número, 0 decimales</t>
        </r>
      </text>
    </comment>
    <comment ref="R5" authorId="0" shapeId="0" xr:uid="{00000000-0006-0000-1700-000006000000}">
      <text>
        <r>
          <rPr>
            <b/>
            <sz val="9"/>
            <color indexed="81"/>
            <rFont val="Tahoma"/>
            <family val="2"/>
          </rPr>
          <t>GUIDO ESCOBAR:</t>
        </r>
        <r>
          <rPr>
            <sz val="9"/>
            <color indexed="81"/>
            <rFont val="Tahoma"/>
            <family val="2"/>
          </rPr>
          <t xml:space="preserve">
Corresonde al valor del RPC</t>
        </r>
      </text>
    </comment>
    <comment ref="S5" authorId="0" shapeId="0" xr:uid="{00000000-0006-0000-1700-000007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700-000008000000}">
      <text>
        <r>
          <rPr>
            <b/>
            <sz val="9"/>
            <color indexed="81"/>
            <rFont val="Tahoma"/>
            <family val="2"/>
          </rPr>
          <t>GUIDO ESCOBAR:</t>
        </r>
        <r>
          <rPr>
            <sz val="9"/>
            <color indexed="81"/>
            <rFont val="Tahoma"/>
            <family val="2"/>
          </rPr>
          <t xml:space="preserve">
Formato Porcentaje, 1 decimal</t>
        </r>
      </text>
    </comment>
    <comment ref="U5" authorId="0" shapeId="0" xr:uid="{00000000-0006-0000-1700-000009000000}">
      <text>
        <r>
          <rPr>
            <b/>
            <sz val="9"/>
            <color indexed="81"/>
            <rFont val="Tahoma"/>
            <family val="2"/>
          </rPr>
          <t>GUIDO ESCOBAR:</t>
        </r>
        <r>
          <rPr>
            <sz val="9"/>
            <color indexed="81"/>
            <rFont val="Tahoma"/>
            <family val="2"/>
          </rPr>
          <t xml:space="preserve">
Formato Porcentaje, 1 decimal</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9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900-000002000000}">
      <text>
        <r>
          <rPr>
            <b/>
            <sz val="9"/>
            <color rgb="FF000000"/>
            <rFont val="Tahoma"/>
            <family val="2"/>
          </rPr>
          <t>GUIDO ESCOBAR:</t>
        </r>
        <r>
          <rPr>
            <sz val="9"/>
            <color rgb="FF000000"/>
            <rFont val="Tahoma"/>
            <family val="2"/>
          </rPr>
          <t xml:space="preserve">
</t>
        </r>
        <r>
          <rPr>
            <sz val="9"/>
            <color rgb="FF000000"/>
            <rFont val="Tahoma"/>
            <family val="2"/>
          </rPr>
          <t>Formato Porcentaje, 1 decimal</t>
        </r>
      </text>
    </comment>
    <comment ref="O5" authorId="0" shapeId="0" xr:uid="{00000000-0006-0000-19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9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9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9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900-000007000000}">
      <text>
        <r>
          <rPr>
            <b/>
            <sz val="9"/>
            <color indexed="81"/>
            <rFont val="Tahoma"/>
            <family val="2"/>
          </rPr>
          <t>GUIDO ESCOBAR:</t>
        </r>
        <r>
          <rPr>
            <sz val="9"/>
            <color indexed="81"/>
            <rFont val="Tahoma"/>
            <family val="2"/>
          </rPr>
          <t xml:space="preserve">
Formato Porcentaje, 1 decimal</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GUIDO ESCOBAR</author>
    <author>Administrator</author>
  </authors>
  <commentList>
    <comment ref="L5" authorId="0" shapeId="0" xr:uid="{00000000-0006-0000-1B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B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B00-000003000000}">
      <text>
        <r>
          <rPr>
            <b/>
            <sz val="9"/>
            <color indexed="81"/>
            <rFont val="Tahoma"/>
            <family val="2"/>
          </rPr>
          <t>GUIDO ESCOBAR:</t>
        </r>
        <r>
          <rPr>
            <sz val="9"/>
            <color indexed="81"/>
            <rFont val="Tahoma"/>
            <family val="2"/>
          </rPr>
          <t xml:space="preserve">
Formato Porcentaje, 1 decimal</t>
        </r>
      </text>
    </comment>
    <comment ref="P5" authorId="1" shapeId="0" xr:uid="{00000000-0006-0000-1B00-000004000000}">
      <text>
        <r>
          <rPr>
            <b/>
            <sz val="9"/>
            <color indexed="81"/>
            <rFont val="Tahoma"/>
            <family val="2"/>
          </rPr>
          <t>Administrator:</t>
        </r>
        <r>
          <rPr>
            <sz val="9"/>
            <color indexed="81"/>
            <rFont val="Tahoma"/>
            <family val="2"/>
          </rPr>
          <t xml:space="preserve">
Formato número, 0 decimales</t>
        </r>
      </text>
    </comment>
    <comment ref="Q5" authorId="1" shapeId="0" xr:uid="{00000000-0006-0000-1B00-000005000000}">
      <text>
        <r>
          <rPr>
            <b/>
            <sz val="9"/>
            <color indexed="81"/>
            <rFont val="Tahoma"/>
            <family val="2"/>
          </rPr>
          <t>Administrator:</t>
        </r>
        <r>
          <rPr>
            <sz val="9"/>
            <color indexed="81"/>
            <rFont val="Tahoma"/>
            <family val="2"/>
          </rPr>
          <t xml:space="preserve">
Formato número, 0 decimales</t>
        </r>
      </text>
    </comment>
    <comment ref="R5" authorId="0" shapeId="0" xr:uid="{00000000-0006-0000-1B00-000006000000}">
      <text>
        <r>
          <rPr>
            <b/>
            <sz val="9"/>
            <color indexed="81"/>
            <rFont val="Tahoma"/>
            <family val="2"/>
          </rPr>
          <t>GUIDO ESCOBAR:</t>
        </r>
        <r>
          <rPr>
            <sz val="9"/>
            <color indexed="81"/>
            <rFont val="Tahoma"/>
            <family val="2"/>
          </rPr>
          <t xml:space="preserve">
Corresonde al valor del RPC</t>
        </r>
      </text>
    </comment>
    <comment ref="S5" authorId="0" shapeId="0" xr:uid="{00000000-0006-0000-1B00-000007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B00-000008000000}">
      <text>
        <r>
          <rPr>
            <b/>
            <sz val="9"/>
            <color indexed="81"/>
            <rFont val="Tahoma"/>
            <family val="2"/>
          </rPr>
          <t>GUIDO ESCOBAR:</t>
        </r>
        <r>
          <rPr>
            <sz val="9"/>
            <color indexed="81"/>
            <rFont val="Tahoma"/>
            <family val="2"/>
          </rPr>
          <t xml:space="preserve">
Formato Porcentaje, 1 decimal</t>
        </r>
      </text>
    </comment>
    <comment ref="U5" authorId="0" shapeId="0" xr:uid="{00000000-0006-0000-1B00-000009000000}">
      <text>
        <r>
          <rPr>
            <b/>
            <sz val="9"/>
            <color indexed="81"/>
            <rFont val="Tahoma"/>
            <family val="2"/>
          </rPr>
          <t>GUIDO ESCOBAR:</t>
        </r>
        <r>
          <rPr>
            <sz val="9"/>
            <color indexed="81"/>
            <rFont val="Tahoma"/>
            <family val="2"/>
          </rPr>
          <t xml:space="preserve">
Formato Porcentaje, 1 decimal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GUIDO ESCOBAR</author>
    <author>Usuario</author>
  </authors>
  <commentList>
    <comment ref="L5" authorId="0" shapeId="0" xr:uid="{00000000-0006-0000-03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3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3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3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3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3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300-000007000000}">
      <text>
        <r>
          <rPr>
            <b/>
            <sz val="9"/>
            <color indexed="81"/>
            <rFont val="Tahoma"/>
            <family val="2"/>
          </rPr>
          <t>GUIDO ESCOBAR:</t>
        </r>
        <r>
          <rPr>
            <sz val="9"/>
            <color indexed="81"/>
            <rFont val="Tahoma"/>
            <family val="2"/>
          </rPr>
          <t xml:space="preserve">
Formato Porcentaje, 1 decimal</t>
        </r>
      </text>
    </comment>
    <comment ref="H17" authorId="1" shapeId="0" xr:uid="{C2358AE7-C1A2-411C-B3E7-D2DFDF729DEE}">
      <text>
        <r>
          <rPr>
            <b/>
            <sz val="9"/>
            <color indexed="81"/>
            <rFont val="Tahoma"/>
            <family val="2"/>
          </rPr>
          <t>Usuario:</t>
        </r>
        <r>
          <rPr>
            <sz val="9"/>
            <color indexed="81"/>
            <rFont val="Tahoma"/>
            <family val="2"/>
          </rPr>
          <t xml:space="preserve">
se debe explicar el avance, para registrarlos en el aplicativo SPI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4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4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4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4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4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4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400-000007000000}">
      <text>
        <r>
          <rPr>
            <b/>
            <sz val="9"/>
            <color indexed="81"/>
            <rFont val="Tahoma"/>
            <family val="2"/>
          </rPr>
          <t>GUIDO ESCOBAR:</t>
        </r>
        <r>
          <rPr>
            <sz val="9"/>
            <color indexed="81"/>
            <rFont val="Tahoma"/>
            <family val="2"/>
          </rPr>
          <t xml:space="preserve">
Formato Porcentaje, 1 decimal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5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5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5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5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5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5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500-000007000000}">
      <text>
        <r>
          <rPr>
            <b/>
            <sz val="9"/>
            <color indexed="81"/>
            <rFont val="Tahoma"/>
            <family val="2"/>
          </rPr>
          <t>GUIDO ESCOBAR:</t>
        </r>
        <r>
          <rPr>
            <sz val="9"/>
            <color indexed="81"/>
            <rFont val="Tahoma"/>
            <family val="2"/>
          </rPr>
          <t xml:space="preserve">
Formato Porcentaje, 1 decimal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6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6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6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6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6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6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600-000007000000}">
      <text>
        <r>
          <rPr>
            <b/>
            <sz val="9"/>
            <color indexed="81"/>
            <rFont val="Tahoma"/>
            <family val="2"/>
          </rPr>
          <t>GUIDO ESCOBAR:</t>
        </r>
        <r>
          <rPr>
            <sz val="9"/>
            <color indexed="81"/>
            <rFont val="Tahoma"/>
            <family val="2"/>
          </rPr>
          <t xml:space="preserve">
Formato Porcentaje, 1 decimal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7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7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7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7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7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7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700-000007000000}">
      <text>
        <r>
          <rPr>
            <b/>
            <sz val="9"/>
            <color indexed="81"/>
            <rFont val="Tahoma"/>
            <family val="2"/>
          </rPr>
          <t>GUIDO ESCOBAR:</t>
        </r>
        <r>
          <rPr>
            <sz val="9"/>
            <color indexed="81"/>
            <rFont val="Tahoma"/>
            <family val="2"/>
          </rPr>
          <t xml:space="preserve">
Formato Porcentaje, 1 decimal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9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9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9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9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9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9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900-000007000000}">
      <text>
        <r>
          <rPr>
            <b/>
            <sz val="9"/>
            <color indexed="81"/>
            <rFont val="Tahoma"/>
            <family val="2"/>
          </rPr>
          <t>GUIDO ESCOBAR:</t>
        </r>
        <r>
          <rPr>
            <sz val="9"/>
            <color indexed="81"/>
            <rFont val="Tahoma"/>
            <family val="2"/>
          </rPr>
          <t xml:space="preserve">
Formato Porcentaje, 1 decimal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A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A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A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A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A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A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A00-000007000000}">
      <text>
        <r>
          <rPr>
            <b/>
            <sz val="9"/>
            <color indexed="81"/>
            <rFont val="Tahoma"/>
            <family val="2"/>
          </rPr>
          <t>GUIDO ESCOBAR:</t>
        </r>
        <r>
          <rPr>
            <sz val="9"/>
            <color indexed="81"/>
            <rFont val="Tahoma"/>
            <family val="2"/>
          </rPr>
          <t xml:space="preserve">
Formato Porcentaje, 1 decimal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C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C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C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C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C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C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C00-000007000000}">
      <text>
        <r>
          <rPr>
            <b/>
            <sz val="9"/>
            <color indexed="81"/>
            <rFont val="Tahoma"/>
            <family val="2"/>
          </rPr>
          <t>GUIDO ESCOBAR:</t>
        </r>
        <r>
          <rPr>
            <sz val="9"/>
            <color indexed="81"/>
            <rFont val="Tahoma"/>
            <family val="2"/>
          </rPr>
          <t xml:space="preserve">
Formato Porcentaje, 1 decimal</t>
        </r>
      </text>
    </comment>
  </commentList>
</comments>
</file>

<file path=xl/sharedStrings.xml><?xml version="1.0" encoding="utf-8"?>
<sst xmlns="http://schemas.openxmlformats.org/spreadsheetml/2006/main" count="9463" uniqueCount="5398">
  <si>
    <t>Explicación del avance o retraso</t>
  </si>
  <si>
    <t>Presupuesto inicial
(Pesos)</t>
  </si>
  <si>
    <t>Clasificación (BP)</t>
  </si>
  <si>
    <t>Clase</t>
  </si>
  <si>
    <t>Código general</t>
  </si>
  <si>
    <t>Vigencia:</t>
  </si>
  <si>
    <t>Día / Mes / Año (Inicio)</t>
  </si>
  <si>
    <t>Día / Mes / Año (Finali-zación)</t>
  </si>
  <si>
    <t>Meta de producto del proyecto (Descripción)</t>
  </si>
  <si>
    <t>Indicador de producto del proyecto (Descripción)</t>
  </si>
  <si>
    <t>Valor de la meta de producto del proyecto</t>
  </si>
  <si>
    <t>Ponderación producto
 (%)</t>
  </si>
  <si>
    <t xml:space="preserve">% de ejecución física de los productos del proyecto
</t>
  </si>
  <si>
    <t>Presupuesto definitivo
(Pesos)
(1)</t>
  </si>
  <si>
    <t>Presupuesto ejecutado
(Pesos)
(2)</t>
  </si>
  <si>
    <t>% de ejecución presupuestal
(2) / (1)</t>
  </si>
  <si>
    <t>Presupuesto pagos
(Pesos)
(3)</t>
  </si>
  <si>
    <t>Fecha de reporte:</t>
  </si>
  <si>
    <t>DEPARTAMENTO ADMINISTRATIVO DE PLANEACION</t>
  </si>
  <si>
    <t xml:space="preserve">Inicial              </t>
  </si>
  <si>
    <t xml:space="preserve">Definitivo      </t>
  </si>
  <si>
    <t>Ejecutado</t>
  </si>
  <si>
    <t>% ejecución</t>
  </si>
  <si>
    <t>TOTAL</t>
  </si>
  <si>
    <t>Parámetros velocímetro</t>
  </si>
  <si>
    <t>Título</t>
  </si>
  <si>
    <t>Segmento</t>
  </si>
  <si>
    <t>Grados1</t>
  </si>
  <si>
    <t>Puntos</t>
  </si>
  <si>
    <t>X</t>
  </si>
  <si>
    <t>Y</t>
  </si>
  <si>
    <t>Punto 1</t>
  </si>
  <si>
    <t>Punto 2</t>
  </si>
  <si>
    <t>Grados2</t>
  </si>
  <si>
    <t>Código</t>
  </si>
  <si>
    <t>4121</t>
  </si>
  <si>
    <t>4123</t>
  </si>
  <si>
    <t>4124</t>
  </si>
  <si>
    <t>4131</t>
  </si>
  <si>
    <t>4132</t>
  </si>
  <si>
    <t>Departamento Administrativo de Planeacion</t>
  </si>
  <si>
    <t>4133</t>
  </si>
  <si>
    <t>4143</t>
  </si>
  <si>
    <t>4145</t>
  </si>
  <si>
    <t>4146</t>
  </si>
  <si>
    <t>4147</t>
  </si>
  <si>
    <t>4148</t>
  </si>
  <si>
    <t>4151</t>
  </si>
  <si>
    <t>4152</t>
  </si>
  <si>
    <t>4161</t>
  </si>
  <si>
    <t>Proyectos</t>
  </si>
  <si>
    <t>% Ejecución física</t>
  </si>
  <si>
    <t>Pagos</t>
  </si>
  <si>
    <t>% pagos</t>
  </si>
  <si>
    <t>Grados3</t>
  </si>
  <si>
    <t>SECRETARÍA DE SALUD PÚBLICA</t>
  </si>
  <si>
    <t>DEPARTAMENTO ADMINISTRATIVO DE PLANEACIÓN</t>
  </si>
  <si>
    <t>SECRETARÍA DE EDUCACIÓN</t>
  </si>
  <si>
    <t>Pesos</t>
  </si>
  <si>
    <t>Total</t>
  </si>
  <si>
    <t>Ejecu-tado</t>
  </si>
  <si>
    <t>DEPARTAMENTO ADMINISTRATIVO DE GESTIÓN DEL MEDIO AMBIENTE</t>
  </si>
  <si>
    <t>SECRETARIA DE GESTIÓN DEL RIESGO DE EMERGENCIAS Y DESASTRES</t>
  </si>
  <si>
    <t>Secretaria de Deporte y Recreacion</t>
  </si>
  <si>
    <t>Secretaria de Educacion</t>
  </si>
  <si>
    <t>Presupuesto Administración Central</t>
  </si>
  <si>
    <t>DEPARTAMENTO ADMINISTRATIVO DE CONTROL INTERNO</t>
  </si>
  <si>
    <t>DEPARTAMENTO ADMINISTRATIVO CONTROL DISCIPLINARIO INTERNO</t>
  </si>
  <si>
    <t>DEPARTAMENTO ADMINISTRATIVO DE CONTRATACIÓN PÚBLICA</t>
  </si>
  <si>
    <t>Departamento Administrativo de Contratación Pública</t>
  </si>
  <si>
    <t>SECRETARIA DE MOVILIDAD</t>
  </si>
  <si>
    <t>SECRETARÍA DE  SEGURIDAD Y JUSTICIA</t>
  </si>
  <si>
    <t>SECRETARIA DE PAZ Y CULTURA CIUDADANA</t>
  </si>
  <si>
    <t>SECRETARIA DE TURISMO</t>
  </si>
  <si>
    <t>Secretaría de Turismo</t>
  </si>
  <si>
    <t>SECRETARÍA DE DESARROLLO TERRITORIAL Y PARTICIPACIÓN CIUDADANA</t>
  </si>
  <si>
    <t>Secretaria de Cultura</t>
  </si>
  <si>
    <t>Secretaria de Movilidad</t>
  </si>
  <si>
    <t>SECRETARÍA DE INFRAESTRUCTURA</t>
  </si>
  <si>
    <t>SECRETARÍA DE GOBIERNO</t>
  </si>
  <si>
    <t>Departamento Administrativo de TIC</t>
  </si>
  <si>
    <t>DEPARTAMENTO ADMINISTRATIVO DE GESTIÓN JURÍDICA PÚBLICA</t>
  </si>
  <si>
    <t>Departamento Administrativo de Gestión Jurídica Pública</t>
  </si>
  <si>
    <t>Fuente: Departamento Administrativo de Hacienda, Departamento Administrativo de Planeación y resto de Organismos</t>
  </si>
  <si>
    <t>Organismo</t>
  </si>
  <si>
    <t>Ejecución física, ejecución presupuestal y pagos según organismo, administración central</t>
  </si>
  <si>
    <t>% de avance del proyecto</t>
  </si>
  <si>
    <t>ORGANISMO</t>
  </si>
  <si>
    <t>Código organismo</t>
  </si>
  <si>
    <t xml:space="preserve">Meta a alcanzar Plan Indicativo
</t>
  </si>
  <si>
    <t>Organismo responsable
(Reparto administrativo)</t>
  </si>
  <si>
    <t>Unidad Administrativa Especial de Servicios Públicos</t>
  </si>
  <si>
    <t>Departamento Administrativo de Dllo. e Innovación I</t>
  </si>
  <si>
    <t>Unidad Admtiva Esp. de Gestión de Bienes y Servicios</t>
  </si>
  <si>
    <t>SECRETARÍA DE  CULTURA</t>
  </si>
  <si>
    <t>SECRETARIA DE BIENESTAR SOCIAL</t>
  </si>
  <si>
    <t>DEPARTAMENTO ADMINISTRATIVO DE  TECNOLOGÍAS DE LA INFORMACIÓN Y LAS COMUNICACIONES</t>
  </si>
  <si>
    <t>Secretaría de Gestión del Riesgo</t>
  </si>
  <si>
    <t>Secretaría de Paz y Cultura Ciudadana</t>
  </si>
  <si>
    <t>Departamento Administrativo de Control Interno</t>
  </si>
  <si>
    <t>Valor de la ejecución del producto del proyecto</t>
  </si>
  <si>
    <t>Secretaría de Dllo. Territorial y Participación Ciudadana</t>
  </si>
  <si>
    <t>Secretaría de Desarrollo Económico</t>
  </si>
  <si>
    <t>% de ejecución con pagos
(3) / (2)</t>
  </si>
  <si>
    <t>Santiago de Cali</t>
  </si>
  <si>
    <t>Secretaria de Seguridad y Justicia</t>
  </si>
  <si>
    <t>Indicador de resultado del proyecto (Descripción)</t>
  </si>
  <si>
    <t>Valor Indicador de resultado del proyecto</t>
  </si>
  <si>
    <t>Identificación de la dimensión, línea estratégica, programa, indicador y proyectos de inversión</t>
  </si>
  <si>
    <t>Secretaría de Gobierno</t>
  </si>
  <si>
    <t>Departamento Admtivo. de Control Disciplinario Interno</t>
  </si>
  <si>
    <t>Departamento Admtivo. Gestion Medio Ambiente</t>
  </si>
  <si>
    <t>Secretaria de Vivienda Social y Hábitat</t>
  </si>
  <si>
    <t xml:space="preserve">DEPARTAMENTO ADMINISTRATIVO DE HACIENDA </t>
  </si>
  <si>
    <t>D</t>
  </si>
  <si>
    <t>L</t>
  </si>
  <si>
    <t>P</t>
  </si>
  <si>
    <t>I</t>
  </si>
  <si>
    <t>Gobierno Inteligente</t>
  </si>
  <si>
    <t>Fortalecimiento Institucional</t>
  </si>
  <si>
    <t>Personas capacitadas</t>
  </si>
  <si>
    <t>Documentos de planeación realizados</t>
  </si>
  <si>
    <t xml:space="preserve">Cali, Gobierno Incluyente </t>
  </si>
  <si>
    <t>pr</t>
  </si>
  <si>
    <t>Documentos de lineamientos técnicos realizados</t>
  </si>
  <si>
    <t>Servicios de información actualizados</t>
  </si>
  <si>
    <t>Proyectos desfinanciados</t>
  </si>
  <si>
    <t>Avance físico</t>
  </si>
  <si>
    <t>Secretaria de Salud Publica</t>
  </si>
  <si>
    <t>Departamento Administrativo  de Hacienda</t>
  </si>
  <si>
    <t>Secretaria Bienestar Social</t>
  </si>
  <si>
    <t>Secretaria de Infraestructura</t>
  </si>
  <si>
    <t>Documentos de investigación realizados</t>
  </si>
  <si>
    <t>Proyectos con ejecución física en 0%</t>
  </si>
  <si>
    <t>Transición hacia Distrito Especial</t>
  </si>
  <si>
    <t>Entidades, organismos y dependencias asistidos técnicamente</t>
  </si>
  <si>
    <t>Documentos metodológicos realizados</t>
  </si>
  <si>
    <t>Elaborar 1 documento de investigación</t>
  </si>
  <si>
    <t>Documentos de investigación elaborados</t>
  </si>
  <si>
    <t>Sistemas de información implementados</t>
  </si>
  <si>
    <t>E</t>
  </si>
  <si>
    <t>Servidores públicos sensibilizados en el fomento de la cultura del autocontrol.</t>
  </si>
  <si>
    <t>Servidores públicos sensibilizados en el fomento de la cultura del autocontrol</t>
  </si>
  <si>
    <t xml:space="preserve">Capacitar 400 personas en el fomento de la cultura del autocontrol </t>
  </si>
  <si>
    <t xml:space="preserve">personas capacitadas </t>
  </si>
  <si>
    <t>Departamento administrativo de Control Interno</t>
  </si>
  <si>
    <t xml:space="preserve">organismos asistidos </t>
  </si>
  <si>
    <t>Proyectos con ejecución fisica en 0 %</t>
  </si>
  <si>
    <t xml:space="preserve">Cali, Inteligente para la Vida </t>
  </si>
  <si>
    <t xml:space="preserve">Territorio Inteligente </t>
  </si>
  <si>
    <t xml:space="preserve">Cali Inteligente </t>
  </si>
  <si>
    <t>Mobiliario urbano instalado con mantenimiento y reposición</t>
  </si>
  <si>
    <t>BP26003392</t>
  </si>
  <si>
    <t>Mejoramiento de mobiliarios urbanos con mantenimiento y reposicion en Santiago de Cali</t>
  </si>
  <si>
    <t xml:space="preserve">Espacio publico adecuado  </t>
  </si>
  <si>
    <t>Departamento Administrativo de Planeación - Subdirección de Espacio Público y Ordenamiento Urbanístico</t>
  </si>
  <si>
    <t xml:space="preserve">Procesos y trámites urbanísticos automatizados </t>
  </si>
  <si>
    <t>BP26003447</t>
  </si>
  <si>
    <t>Servicios tecnológicos. (Desarollar 1 sistema integral de automatización de información urbanística.)</t>
  </si>
  <si>
    <t>Índice de capacidad en la prestación de servcios de tecnología</t>
  </si>
  <si>
    <t>Procesos y trámites urbanísticos automatizados</t>
  </si>
  <si>
    <t xml:space="preserve">Implementar 1 Servicio de información </t>
  </si>
  <si>
    <t>Cali, Solidaria por la Vida</t>
  </si>
  <si>
    <t>Territorios para la Vida</t>
  </si>
  <si>
    <t>Espacio Público para la Integración Socio-Ecológica</t>
  </si>
  <si>
    <t>Intervenciones de espacio público diseñadas</t>
  </si>
  <si>
    <t>Estudios o diseños realizados</t>
  </si>
  <si>
    <t xml:space="preserve">Plan Maestro de Espacio Público - PMEP ajustado y adoptado </t>
  </si>
  <si>
    <t>BP26003448</t>
  </si>
  <si>
    <t>Departamento Administrativo de Planeación Municipal - Subdirección de Planificación del Territorio</t>
  </si>
  <si>
    <t>Documentos de lineamientos técnicos elaborados</t>
  </si>
  <si>
    <t>Inventario de publicidad exterior visual actualizado y mantenido</t>
  </si>
  <si>
    <t>BP26003396</t>
  </si>
  <si>
    <t>Inventario de la publicidad Exterior visual de Santiago de Cali</t>
  </si>
  <si>
    <t>Bases de datos de la Temática de Servicios Generadas</t>
  </si>
  <si>
    <t>Equipamientos para el Desarrollo y el Bienestar</t>
  </si>
  <si>
    <t xml:space="preserve">Plan Maestro de Equipamientos ajustado y adoptado </t>
  </si>
  <si>
    <t>Asistencia tecnica para la instrumentación del sistema de Equipamientos en Santiago de cali</t>
  </si>
  <si>
    <t>BP26003450</t>
  </si>
  <si>
    <t>Prestación de Servicios Públicos Domiciliarios</t>
  </si>
  <si>
    <t xml:space="preserve">Plan Maestro de Servicios Públicos Domiciliarios y TIC formulado y adoptado </t>
  </si>
  <si>
    <t>Formulacion Plan Director de Servicios Públicos Domiciliarios y TIC de Cali</t>
  </si>
  <si>
    <t>BP26003397</t>
  </si>
  <si>
    <t>Plan Maestro de Servicios Públicos Domiciliarios y TIC formulado y adoptado</t>
  </si>
  <si>
    <t>Documentos de lineamientos tecnicos elaborados</t>
  </si>
  <si>
    <t>Salvaguarda y Protección del Patrimonio Cultural</t>
  </si>
  <si>
    <t>Actualización del inventario de bienes de interés cultural (BIC) de Santiago de cali</t>
  </si>
  <si>
    <t>BP26003451</t>
  </si>
  <si>
    <t>Documentos normativos realizados</t>
  </si>
  <si>
    <t>Cali, por Nuestra Casa Común</t>
  </si>
  <si>
    <t xml:space="preserve">Mitigación del Cambio Climático </t>
  </si>
  <si>
    <t xml:space="preserve">Gestión Integral de Residuos Sólidos </t>
  </si>
  <si>
    <t>Estudios para la planificación de la gestión integral de residuos sólidos, la prestación del servicio público de aseo y sus actividades complementarias elaborados</t>
  </si>
  <si>
    <t>Fortalecimiento de la Planificación de la Gestión Integral de Residuos Sólidos de Santiago de Cali</t>
  </si>
  <si>
    <t>BP26003405</t>
  </si>
  <si>
    <t>Movilidad Multimodal Sustentable</t>
  </si>
  <si>
    <t>Regulación, Control y Gestión Inteligente del Tránsito</t>
  </si>
  <si>
    <t xml:space="preserve">Planes especiales zonales de gestión del estacionamiento formulados </t>
  </si>
  <si>
    <t>Consolidación del modelo de movilidad sostenible en Santiago de Cali.</t>
  </si>
  <si>
    <t>BP26003413</t>
  </si>
  <si>
    <t>Planes especiales zonales de gestión del estacionamiento formulados</t>
  </si>
  <si>
    <t>Cali, Gobierno Incluyente</t>
  </si>
  <si>
    <t>Implementación de Cali Distrito</t>
  </si>
  <si>
    <t>BP26003416</t>
  </si>
  <si>
    <t>Unidades de planificación urbana y rural formuladas y adoptadas</t>
  </si>
  <si>
    <t>Formulación de las unidades de planificación urbana y rural de Santiago de Cali</t>
  </si>
  <si>
    <t>BP26003418</t>
  </si>
  <si>
    <t>Documentos de planeación elaborados</t>
  </si>
  <si>
    <t>Departamento Administrativo de Planeación - Subdirección de Desarrollo Integral</t>
  </si>
  <si>
    <t>Planes de Desarrollo de nivel territorial y distrital con seguimiento y evaluación</t>
  </si>
  <si>
    <t>Fortalecimiento al seguimiento de los Planes de Desarrollo Distrital y Territoriales de Santiago de Cali</t>
  </si>
  <si>
    <t>BP26003422</t>
  </si>
  <si>
    <t>Documento de política elaborados</t>
  </si>
  <si>
    <t>Políticas públicas, evaluadas</t>
  </si>
  <si>
    <t>Asistencia para el seguimiento y evaluación de los procesos de políticas públicas de Cali</t>
  </si>
  <si>
    <t>BP26003458</t>
  </si>
  <si>
    <t>Solicitudes de encuesta Sisbén, atendidas</t>
  </si>
  <si>
    <t>Apoyo al sistema de identificación de potenciales beneficiarios de programas sociales - sisbén en Santiago de Cali</t>
  </si>
  <si>
    <t>BP26002520</t>
  </si>
  <si>
    <t>Hogares que realizaron la encuesta</t>
  </si>
  <si>
    <t>Sistemas de información actualizados</t>
  </si>
  <si>
    <t>Archivo Municipal de Datos, actualizado</t>
  </si>
  <si>
    <t>Implementación del Plan Estadístico Territorial de Cali</t>
  </si>
  <si>
    <t>BP26003425</t>
  </si>
  <si>
    <t>Elaborar 3 documentos metodológicos</t>
  </si>
  <si>
    <t>Elaborar 1 documento de lineamiento técnico</t>
  </si>
  <si>
    <t>Sistema de Indicadores Sociales actualizado</t>
  </si>
  <si>
    <t>Actualización del Sistema de Indicadores de Santiago de Cali</t>
  </si>
  <si>
    <t>BP26003423</t>
  </si>
  <si>
    <t>Actualizar 1 sistema de informaciòn (Actualizar el 100% de los indicadores)</t>
  </si>
  <si>
    <t xml:space="preserve">Documentos con estadísticas básicas del Distrito, publicados </t>
  </si>
  <si>
    <t>Actualización de Estudios para la Planificación en Cali</t>
  </si>
  <si>
    <t>BP26003463</t>
  </si>
  <si>
    <t>Actualizar las cuentas económicas municipales de Cali</t>
  </si>
  <si>
    <t xml:space="preserve">Boletines Técnicos de la Temática Cuentas Nacionales producidos </t>
  </si>
  <si>
    <t xml:space="preserve">Boletines Técnicos de la Temática Demografía y Población producidos </t>
  </si>
  <si>
    <t>Documentos metodológicos elaborados</t>
  </si>
  <si>
    <t>Base de datos de Estratificación urbana y rural actualizada</t>
  </si>
  <si>
    <t>Actualización de la estratificación socioeconómica en Santiago de Cali</t>
  </si>
  <si>
    <t>BP26003429</t>
  </si>
  <si>
    <t>Actualizar 1 base de datos (100%) de Estratificación urbana y rural</t>
  </si>
  <si>
    <t>Base de datos del censo de Población y Vivienda Producidas</t>
  </si>
  <si>
    <t>Elaborar 200 documentos de lineamientos técnicos</t>
  </si>
  <si>
    <t xml:space="preserve">Documentos de lineamientos técnicos realizados </t>
  </si>
  <si>
    <t>Registros de la base de datos de Nomenclatura de Cali actualizados</t>
  </si>
  <si>
    <t>Actualización de los registros de la base de datos de nomenclatura Cali</t>
  </si>
  <si>
    <t>BP26003431</t>
  </si>
  <si>
    <t>Sistemas de Información Actualizados</t>
  </si>
  <si>
    <t>Fortalecimiento de la infraestructura de datos espaciales de Santiago de Cali</t>
  </si>
  <si>
    <t>BP26003464</t>
  </si>
  <si>
    <t>Servicios Web Geográficos y Productos de Información Geográfica en la plataforma tecnológica de la Infraestructura de Datos Espaciales de Santiago de Cali - IDESC disponibles.</t>
  </si>
  <si>
    <t>Número de sistemas de información</t>
  </si>
  <si>
    <t xml:space="preserve">Estudios de preinversión de proyectos estratégicos del plan de desarrollo elaborados </t>
  </si>
  <si>
    <t>Fortalecimiento en la estructuración de proyectos de inversión en Santiago de Cali</t>
  </si>
  <si>
    <t>Sistema de la Información y la Infraestructura Tecnológica</t>
  </si>
  <si>
    <t>Sistema de información actualizado</t>
  </si>
  <si>
    <t>Sistema de información de control urbanístico implementado y mantenido</t>
  </si>
  <si>
    <t>Implementación del Sistema de información geográfico de control de licencias urbanísticas de Cali</t>
  </si>
  <si>
    <t>BP26003470</t>
  </si>
  <si>
    <t>Implementar 1 sistema de información. (Construir un sistema de clasificación, organización y seguimiento de áreas de espacio público (cedido y adecuado) resultantes de las licencias urbanísticas expedidas.)</t>
  </si>
  <si>
    <t>Sistema de información implementado</t>
  </si>
  <si>
    <t>Actualizar 1 Servicio de información.(Articular los organismos que manejan información sobre el cumplimiento de obligaciones urbanísticas impuestas en las licencias de urbanización.)</t>
  </si>
  <si>
    <t xml:space="preserve">Fortalecimiento y Gestión de los Socioecosistemas </t>
  </si>
  <si>
    <t>Gobernanza, Gobernabilidad y Cultura Ambienta</t>
  </si>
  <si>
    <t>Centro de Promoción del Bienestar Animal Construido</t>
  </si>
  <si>
    <t xml:space="preserve"> </t>
  </si>
  <si>
    <t>Gestión del Riesgo</t>
  </si>
  <si>
    <t>Personas Capacitadas</t>
  </si>
  <si>
    <t xml:space="preserve"> Personas capacitadas</t>
  </si>
  <si>
    <t>ORGANISMO:</t>
  </si>
  <si>
    <t>Día / Mes / Año (Finalización)</t>
  </si>
  <si>
    <t>Explicación del avance o retraso con corte al 31 de marzo de 2022</t>
  </si>
  <si>
    <t>SECRETARIA DE VIVIENDA SOCIAL Y HABITAT</t>
  </si>
  <si>
    <t>Identificación de la dimensión,  línea estratégica, programa, indicador y proyectos de inversión</t>
  </si>
  <si>
    <t>Meta a alcanzar Plan Indicativo</t>
  </si>
  <si>
    <t>Día / Mes/ Año (Inicio)</t>
  </si>
  <si>
    <t>Explicación del avance o retraso a febrero</t>
  </si>
  <si>
    <t>SECRETARÍA DEL DEPORTE Y LA RECREACIÓN</t>
  </si>
  <si>
    <t>Identificación del eje , componente, programa, indicador y proyectos de inversión</t>
  </si>
  <si>
    <t>UNIDAD ADMINISTRATIVA ESPECIAL DE GESTIÓN DE BIENES Y SERVICIOS</t>
  </si>
  <si>
    <t>Documentos de revisión y ajuste del POT elaborados</t>
  </si>
  <si>
    <t>Actualización del plan de ordenamiento territorial de Santiago de Cali</t>
  </si>
  <si>
    <t>BP26002493</t>
  </si>
  <si>
    <t>SECRETARÍA DE DESARROLLO ECONÓMICO</t>
  </si>
  <si>
    <t>DEPARTAMENTO ADMINISTRATIVO DE DESARROLLO E INNOVACIÓN INSTITUCIONAL</t>
  </si>
  <si>
    <t>BP2600339210101</t>
  </si>
  <si>
    <t>BP2600344710201</t>
  </si>
  <si>
    <t>BP2600344710202</t>
  </si>
  <si>
    <t>BP2600344810201</t>
  </si>
  <si>
    <t>BP2600339610101</t>
  </si>
  <si>
    <t>BP2600345010201</t>
  </si>
  <si>
    <t>BP2600339710201</t>
  </si>
  <si>
    <t>BP2600345110101</t>
  </si>
  <si>
    <t>BP2600340510101</t>
  </si>
  <si>
    <t>BP2600341310201</t>
  </si>
  <si>
    <t>BP2600341310301</t>
  </si>
  <si>
    <t>BP2600341610102</t>
  </si>
  <si>
    <t>BP2600249310101</t>
  </si>
  <si>
    <t>BP2600341810201</t>
  </si>
  <si>
    <t>BP2600342210101</t>
  </si>
  <si>
    <t>BP2600342210201</t>
  </si>
  <si>
    <t>BP2600345810301</t>
  </si>
  <si>
    <t>BP2600252010101</t>
  </si>
  <si>
    <t>BP2600252010201</t>
  </si>
  <si>
    <t>BP2600342510101</t>
  </si>
  <si>
    <t>BP2600342510202</t>
  </si>
  <si>
    <t>BP2600342510301</t>
  </si>
  <si>
    <t>BP2600342510401</t>
  </si>
  <si>
    <t>BP2600342310101</t>
  </si>
  <si>
    <t>BP2600342310201</t>
  </si>
  <si>
    <t>BP2600342310301</t>
  </si>
  <si>
    <t>BP2600346310101</t>
  </si>
  <si>
    <t>BP2600346310102</t>
  </si>
  <si>
    <t>BP2600346310201</t>
  </si>
  <si>
    <t>BP2600342910101</t>
  </si>
  <si>
    <t>BP2600342910201</t>
  </si>
  <si>
    <t>BP2600343110101</t>
  </si>
  <si>
    <t>BP2600346410101</t>
  </si>
  <si>
    <t>BP2600347010101</t>
  </si>
  <si>
    <t>BP2600347010201</t>
  </si>
  <si>
    <t>UNIDAD ADMINISTRATIVA ESPECIAL DE SERVICIOS PÚBLICOS</t>
  </si>
  <si>
    <t>Fortalecimiento de la cultura del control en los procesos del distrito de Santiago de Cali</t>
  </si>
  <si>
    <t>BP26004371</t>
  </si>
  <si>
    <t>Adecuar 1,500 espacios públicos (Realizar mantenimiento y reposición a 1.500 mobiliarios urbanos )</t>
  </si>
  <si>
    <t xml:space="preserve">	
Apoyo en la automatización   de procesos y tramites urbanísticos en Santiago de Calí</t>
  </si>
  <si>
    <t>Asistencia tecnica para la instrumentación del distema de espacio Público de Santiago de cali</t>
  </si>
  <si>
    <t>Elaborar  2 Documento de lineamientos técnicos (1-documento técnico diagnostico,2-documento técnico de formulación)</t>
  </si>
  <si>
    <t>Generar 1 base de datos de la Temática de Servicios (Genera 1 base de datos de Publicidad Exterior Visual de Cali)</t>
  </si>
  <si>
    <t>Planes Especiales de Manejo y Protección Galería Santa Elena y San Antonio laborados</t>
  </si>
  <si>
    <t>Planes Especiales de Manejo y Protección Galeria Santa Elena y San Antocio Elaborados</t>
  </si>
  <si>
    <t>Inventario de bienes de interés cultural, material, BIC actualizado y registrado en el SIPA</t>
  </si>
  <si>
    <t>Actualizar el inventario de Bienes de Interés Cultural material BIC</t>
  </si>
  <si>
    <t>Elaborar 1 documento de planeación con seguimiento (Evaluar 1 Plan de Gestión Integral de Residuos Sólidos - PGIRS de Santiago de Cali)</t>
  </si>
  <si>
    <t>Realizar  documento normativo realizados</t>
  </si>
  <si>
    <t>Realizar documentos de planeación  realizados</t>
  </si>
  <si>
    <t>Conocimiento del Riesgo</t>
  </si>
  <si>
    <t>Estudios de riesgo de desastres elaborados</t>
  </si>
  <si>
    <t>Estudios básicos y detallados sobre movimientos en masa ajustados</t>
  </si>
  <si>
    <t>Estudios de amenazas, vulnerabilidades y riesgos por movimientos en masa en la zona de ladera urbana y rural de Cali</t>
  </si>
  <si>
    <t>BP26003406</t>
  </si>
  <si>
    <t>BP2600340610301</t>
  </si>
  <si>
    <t>Realizar 470 documentos normativos (Elaborar 470 conceptos sobre condiciones de amenaza o riesgo)</t>
  </si>
  <si>
    <t xml:space="preserve">Modelo de división político-administrativa del Distrito Especial revisado y adoptado </t>
  </si>
  <si>
    <t>Asistencia para la definicion del modelo de integración polìtico administrativo en localidades del distrito especial de Santiago de Cali</t>
  </si>
  <si>
    <t xml:space="preserve">Gestión de información estadística y geográfica para la evaluación de resultados </t>
  </si>
  <si>
    <t>BP2600345810101</t>
  </si>
  <si>
    <t>BP2600345810201</t>
  </si>
  <si>
    <t>Personas capacitadas: se desarrolla asistencia técnica a los equipos de los organismos Formuladores y Coordinadores de Política Pública en el proceso de formulación de planes de acción e indicadores de corto, mediano y largo plazo, o indicadores de producto, resultado e impacto</t>
  </si>
  <si>
    <t>Actualizar 1 sistema de información.(Operación y administración del sisben.)</t>
  </si>
  <si>
    <t>Elaborar 10 documentos de investigación (Registros administrativos)</t>
  </si>
  <si>
    <t>Documentos con estadísticas básicas del Distrito publicados</t>
  </si>
  <si>
    <t>Elaborar 1 Boletin Técnico de la Temática Demografía y Población (Elaborar Documento con Estadisticas básicas del distrito)</t>
  </si>
  <si>
    <t>BP2600346310103</t>
  </si>
  <si>
    <t>Documentos de estudios potcensales temáticas demográficas y poblacionales producidos</t>
  </si>
  <si>
    <t>Elaborar 2 documentos metodológicos (Publicar 2 documentos)</t>
  </si>
  <si>
    <t>Actualizar 1 Servicio de Información (Actualizar el 100% de la BD de la  nomenclatura vial y domiciliaria de Cali)</t>
  </si>
  <si>
    <t xml:space="preserve">Servicios Web Geográficos y productos de información geográfica en la plataforma tecnológica de la Infraestructura de Datos Espaciales de Santiago de Cali – IDESC disponibles </t>
  </si>
  <si>
    <t>Aumentar en 88 el numero de Servicio web geograficos de información geográfica, geodésica y cartográfica.</t>
  </si>
  <si>
    <t>Unidad Administrativa Especial de Protección Animal</t>
  </si>
  <si>
    <t>BP2600437110101</t>
  </si>
  <si>
    <t>BP2600437110201</t>
  </si>
  <si>
    <t>BP26004541</t>
  </si>
  <si>
    <t>BP2600454110101</t>
  </si>
  <si>
    <t>Definir un marco normativo que oriente el desarrollo urbano de la  Galería Santa Elena y su correspondiente área de influencia, que permitan orientar las transformaciones de inmuebles como una posibilidad para su conservación en el ámbito de la aplicación del PEMP</t>
  </si>
  <si>
    <t>Instrumentos de planificación complementaria del plan de ordenamiento territorial, formulados y divulgados</t>
  </si>
  <si>
    <t>Asistencia técnica a los instrumentos de planificación complementarios de Cali</t>
  </si>
  <si>
    <t>BP26003417</t>
  </si>
  <si>
    <t>BP2600341710101</t>
  </si>
  <si>
    <t>Consolidación del Centro de Promoción del Bienestar Animal de Santiago de Cali.</t>
  </si>
  <si>
    <t>BP26004610</t>
  </si>
  <si>
    <t>BP2600461010101</t>
  </si>
  <si>
    <t>Centro de Promoción del Bienestar Animal
con atención integral</t>
  </si>
  <si>
    <t>Infraestructura para el bienestar animal adecuada</t>
  </si>
  <si>
    <t>UAEPA
(Unidad Administrativa Especial de Protección Animal).</t>
  </si>
  <si>
    <t>BP2600461010201</t>
  </si>
  <si>
    <t>Animales atendidos en el coso municipal</t>
  </si>
  <si>
    <t>BP2600461010301</t>
  </si>
  <si>
    <t>Animales atendidos</t>
  </si>
  <si>
    <t>BP2600461010401</t>
  </si>
  <si>
    <t>UNIDAD ADMINISTRATIVA ESPECIAL DE PROTECCIÓN ANIMAL</t>
  </si>
  <si>
    <t>A la fecha, se realizó el mantenimiento rutinario  de 250 elementos de mobiliario mayor y 94 de mobiliario menor,  adicionalmente se realizó la reposición de 16 elementos de mobiliario correspondientes a Mupis piedra, Copa y Reloj, a los componentes  : vidrios, kit eléctricos, marcos ,difusores ,laminas  Etc. que en el período comprendido de enero a marzo  se realizó el mantenimiento de 344 elementos de mobiliario y la reposición de 56 elementos para un total de 760</t>
  </si>
  <si>
    <t>Se contrataron profesionales para gestionar y trabajar en las actividades del tramite de Esquemas de Implantacion y Regularización EIR.</t>
  </si>
  <si>
    <t xml:space="preserve">
Diseño urbano, arquitectónico y paisajístico de espacios públicos a intervenir  en el Distrito Santiago de   Cali</t>
  </si>
  <si>
    <t>BP26004860</t>
  </si>
  <si>
    <t>BP2600486010101</t>
  </si>
  <si>
    <t>Realizar 40 estudios o diseños (Diseñar 40 intervenciones de espacio público)</t>
  </si>
  <si>
    <t>Al mes de marzo se cuenta con un avance del 5% del proyecto, correspondiente al Diseño urbano, arquitectónico y paisajístico de espacios públicos a intervenir  en el Distrito Santiago de   Cali correspondiente intervenciones de Urbanismo Tactico para la Recuperacion del centro de Cali. Barrio San Pedro de la Comuna 3 en el marco de las iniciativas Gerencia de Ciudad y fase de diagnostico e identificacion de espacios publicos potenciales a intervenir en el Distrito</t>
  </si>
  <si>
    <t xml:space="preserve">A la fecha se avanza el 0,2 % relacionado con la ejecucion de las actividades de articulación de información y bases de datos geográficas con el observatorio de espacio público </t>
  </si>
  <si>
    <t>Se verificó la existencia de 35 vallas publicitarias, donde una (1) valla es nueva. Se han otorgado 3 registros de publicidad exterior visual mayor -  vallas publicitarias en el transcurso del año y existen 198 registros vigentes que pueden ser consultados en la plataforma SAUL: https://saul.cali.gov.co/saul/vallas y el aplicativo de consulta de vallas: https://geoportal.cali.gov.co/arcgis/apps/webappviewer/index.html?id=cc78305853a54a8fb40d0cffc48cff7d</t>
  </si>
  <si>
    <t xml:space="preserve">Elaborar 1 Documento de lineamientos técnicos. </t>
  </si>
  <si>
    <t>A la fecha se avanza el 0,2 % en relación con las actividades de revisión y articulación de información del plan maestro de equipamientos</t>
  </si>
  <si>
    <t xml:space="preserve">Elaborar 1 documento de lineamientos técnicos. </t>
  </si>
  <si>
    <t>Durante el período actual, se relizarón las invitaciones a cotizar  de posibles consultores y se adelanto la primera versión de  estudios previos para la ejecución de las politicas publicas de Servicios Publicos en el marco del plan maestro de servicios publicos domiliarios y TIC.</t>
  </si>
  <si>
    <t>BP2600339710301</t>
  </si>
  <si>
    <t>Documentos de planeación</t>
  </si>
  <si>
    <t>Documentos de planeacion elaborados</t>
  </si>
  <si>
    <t>ormulación Del Plan Especial de Manejo y Protección - PEMP y sus estudios complementarios de la Plaza de Mercado de Santa Elena y su</t>
  </si>
  <si>
    <t>A la fecha, Se continuó con la revisión de los documentos existentes, con el fin de estructurar las siguientes etapas del proyecto para la adopción del Plan Especial de Manejo y Protección de Patrimonio de Santa Elena, así mismo, se elaboró el cronograma de la gestión social y predial que se debe hacer en el sector.</t>
  </si>
  <si>
    <t>Elaborar 40 Documentos normativos</t>
  </si>
  <si>
    <t xml:space="preserve">A la fecha las actividades realizadas con respecto a la actualización del inventario de bienes de interés cultural está relacionado con la recopilación de información del estado actual normativo y catastral de los BIC  y mapa de actores con el fin de generar una matriz resumen. Adicional se realizó mesa de trabajo con MinCultura </t>
  </si>
  <si>
    <t>BP2600345110102</t>
  </si>
  <si>
    <t>Elaborar 1 Documento de investigación realizado</t>
  </si>
  <si>
    <t>A la fecha, se revisaron trece (13) informes de dieciséis (16) organismos que deben reportar y cuatro (4) entidades externas. Con esta información, se inició con la elaboración del informe de seguimiento del PGIRS de la vigencia anterior, avanzando con el análisis de la implementación del programa institucional para la prestación del servicio público de aseo y en la solicitud de información complementaria en el caso de los organismos DAGMA y UAESP para el análisis de los programas de limpieza urbana, zonas ribereñas, recolección, transporte y transferencia.</t>
  </si>
  <si>
    <t>BP2600341310101</t>
  </si>
  <si>
    <t>Elaborar documentos de evaluación</t>
  </si>
  <si>
    <t>Realizar documentos de evaluación elaborados</t>
  </si>
  <si>
    <t>Elaborar 1 documento normativo</t>
  </si>
  <si>
    <t>Elaborar 1 Documentos de planeación</t>
  </si>
  <si>
    <t>A la fecha, se ha avanzado un 5%, correspondiente a la revisión de los proyectos de norma asociados a la explotación por estacionamiento en vía y fuera de vía y su contribución.</t>
  </si>
  <si>
    <t>BP2600340610101</t>
  </si>
  <si>
    <t>Estudios de riesgo de desastres</t>
  </si>
  <si>
    <t>A 29 de marzo de 2024 se avanzó en el inventario de estudios detallados disponibles y en la evaluación del marco normativo aplicable a su incorporación en el POT</t>
  </si>
  <si>
    <t>A 29 de marzo de 2024 y dentro del plazo previsto en las normas aplicables, se emitieron 86 conceptos sobre condiciones de amenaza / riesgo por fenómenos naturales peligrosos</t>
  </si>
  <si>
    <t>BP2600341610101</t>
  </si>
  <si>
    <t>Realizar 1 Documentos de lineamientos técnicos</t>
  </si>
  <si>
    <t xml:space="preserve">Elaborar 1 Documento metodológicos </t>
  </si>
  <si>
    <t>BP2600341610201</t>
  </si>
  <si>
    <t>Realizar Documentos normativos realizados</t>
  </si>
  <si>
    <t>Asistencia para la definición de apuestas estratégicas para potenciar las vocaciones del Distrito Especial, Deportivo, Cultura</t>
  </si>
  <si>
    <t>BP26004864</t>
  </si>
  <si>
    <t>BP2600486410101</t>
  </si>
  <si>
    <t>Durante  el período en curso  se continúa con las labores de planificación y organización de los documentos que permitan alcanzar el logro del indicador</t>
  </si>
  <si>
    <t>Elaborar  2 documentos de reglamentaciones normativas</t>
  </si>
  <si>
    <t>A la fecha, se continua realizando la revisión de información secundaria  existente necesaria para la definicion del instrumento de planificación, reglamentaciones, actulizacion de expedientes e indicadores</t>
  </si>
  <si>
    <t>A la fecha, se avanzó el 0,5% con relación a la revisión de los insumos disponibles para el desarrollo de los productos necesarios en el proceso de actualización del Plan de Ordenamiento Territorial y la elaboración del balance con el propósito de identificar la información requerida.</t>
  </si>
  <si>
    <t>BP2600341810101</t>
  </si>
  <si>
    <t>Elaboración de instrumentos para el desarrollo urbano y territorial</t>
  </si>
  <si>
    <t>Instrumentos normativos formulados</t>
  </si>
  <si>
    <t>1 documento de proyecto de acuerdo de las unidades de planificación rural y 3 fichas reglamentarias de programas y proyectos propuestos para las unidades de planificación rural</t>
  </si>
  <si>
    <t>BP2600341810301</t>
  </si>
  <si>
    <t>1 Documentos de lineamientos técnicos  elaborados</t>
  </si>
  <si>
    <t>Documentos de lineamientos técnicos  elaborados</t>
  </si>
  <si>
    <t>Asistir 31 organismos y dependencias tecnicamente</t>
  </si>
  <si>
    <t xml:space="preserve">Realizar seguimiento y evaluación a 38 Planes de Desarrollo de nivel territorial y distrital </t>
  </si>
  <si>
    <t>A la fecha, Se impartieron lineamientos a todos los organismos para la formulación PD Distrital y PDCC 2024-2027. Se actualizó el tablero de seguimiento del PD con la información acumulada al 2023 y de los 37 tableros del PDCC con la información 2020-2023</t>
  </si>
  <si>
    <t>Apoyo al proceso de planificación en el Distrito de Santiago  Cali</t>
  </si>
  <si>
    <t>BP26004863</t>
  </si>
  <si>
    <t>BP2600486310101</t>
  </si>
  <si>
    <t>Formular instrumentos de planificación.</t>
  </si>
  <si>
    <t xml:space="preserve">Documentos de planeación realizados
</t>
  </si>
  <si>
    <t>A la fecha, Se socializó la primera versión del PD que consta de 3 propósitos y 6 retos, incorporando  programa de gobierno, gerencia de ciudad y diálogos ciudadanos. Se identificó la relación entre las apuestas estrategias definidas por el despacho y los indicadores propuestos por los organismos para establecer una articulación entre ellos.</t>
  </si>
  <si>
    <t>BP2600486310201</t>
  </si>
  <si>
    <t>Asistir 67 organismos y dependencias tecnicamente</t>
  </si>
  <si>
    <t xml:space="preserve">Entidades, organismos y dependencias asistidos técnicamente
</t>
  </si>
  <si>
    <t>A la fecha, Se socializó cada uno de los retos a los directivos de los organismos, junto con los aportes de la academia y los lineamientos y recomendaciones para depuración del PI y ajuste a PPI.
Se definió y socializó metodología para el PDCC en 11 pasos y permite articulación con el PD Distrital. A la fecha se desarrolló el paso 8 en corregimientos y fase 1 en comunas, donde se priorizó indicadores de producto. Se trabajo con organismos y jefes de oficina CALI para la fase 2 que define alcance de las metas.</t>
  </si>
  <si>
    <t>Realizar 2 documentos metodológicos</t>
  </si>
  <si>
    <t>A la fecha, se brindó asistencia técnica a 42 personas; que responden a ejercicios de política de seguridad (5), paz y reconciliación (4), bienestar social (6) y temas referentes al acoso sexual (27).</t>
  </si>
  <si>
    <t>A la fecha se realiza revisión de insumos de políticas adoptadas y sus procedimientos para el desarrollo de un documento de investigación sobre sistemas de seguimiento y evaluación de políticas.</t>
  </si>
  <si>
    <t>Encuestar 79,200 hogares en Sisbén</t>
  </si>
  <si>
    <t>A la fecha, se realizaron 7276 encuestas discriminadas de la siguiente manera: enero 1966, febrero 4897 y marzo 2379 sobre el total encuestas radicadas las cuales fueron 10.541al corte del 7 demarzo de 2024.</t>
  </si>
  <si>
    <t>En el mes de marzo de 2024 se visitó los once (11) puntos de atención con con el fin de verificar el cumplimiento de la modificación 3 y la atención a la ciudadanía.</t>
  </si>
  <si>
    <t>A la fecha, Se proyectó circular N 4132.040.22.2.1020.000341 Convocatoria a mesa técnica del Comité Técnico de Gestión de Información Estadística para definir procesos estadísticos estratégicos para la planificación territorial en el marco del Plan de Desarrollo Distrital 2024-2027.</t>
  </si>
  <si>
    <t>A la fecha, Se adelantó el trabajo de revisión de las siguientes operaciones estadísticas para avanzar en el proceso de documentación:Caracterización de los beneficiarios de los programas de la Secretaría de Cultura del distrito de Santiago de Cali Caracterización de vendedores informales ubicados en espacios públicos de Santiago de Cali.</t>
  </si>
  <si>
    <t>Actualizar 2 sistemas de información (actualizar las OOEE y el AMDA)</t>
  </si>
  <si>
    <t xml:space="preserve">Realizar 4 capacitaciones. </t>
  </si>
  <si>
    <t>A la fecha, se realizó la revisión de  la matriz de Excel con el conjunto de indicadores estratégicos para los territorios así como fuentes de información para consulta y uso en los ejercicios de Planeación Territorial.</t>
  </si>
  <si>
    <t>Documentos de estudios potcensales temáticas demográficas y poblacionales (Proyecciones de población)</t>
  </si>
  <si>
    <t>Desde el mes de enero a la fecha se han revisado 2000 registros de nomenclatura de dentro de revisión de base de datos de propiedad horizontal (PH) y se revisó el sistema de nomenclatura vial de algunos sectores para detectar inconsistencias que requieran ajuste de nomenclatura</t>
  </si>
  <si>
    <t>En el momento se encuentra en proceso de revisión y planificación para el desarrollo de las actividades.</t>
  </si>
  <si>
    <t>BP26004865</t>
  </si>
  <si>
    <t>BP2600486510101</t>
  </si>
  <si>
    <t>Elaborar 2 documentos de planeación</t>
  </si>
  <si>
    <t>Documento de planeación realizados</t>
  </si>
  <si>
    <t xml:space="preserve">A la fecha, se realizó la revisión de los estudios del Bulevar de San Antonio y se dio revisó la viabilidad Contractual y Jurídica para la continuación del Proyecto El Paseo de Jovita al Río.  </t>
  </si>
  <si>
    <t>A la fecha, Se realizó la incorporación de datos del Sistema de Información Geográfico SIG-CLU, de licencias urbanísticas que se han estado investigando.</t>
  </si>
  <si>
    <t>A la fecha, Se avanzó con la  articulación con curaduria urbana 1, respecto a la interconexión y suministro de datos a traves del webservices que esta pendiente con dicho organismo.</t>
  </si>
  <si>
    <t>Enero - Marzo de 2024</t>
  </si>
  <si>
    <t xml:space="preserve">Modelo de prevención del Daño Antijurídico operando  </t>
  </si>
  <si>
    <t>Implementación del modelo de prevención del daño antijurídico de Santiago de Cali</t>
  </si>
  <si>
    <t>BP26002785</t>
  </si>
  <si>
    <t>Departamento Administrativo de Gestión Jurídica Pública - Subdirección de Defensa Judicial y Prevención del Daño Antijurídico</t>
  </si>
  <si>
    <t>BP2600278510101</t>
  </si>
  <si>
    <t>Realizar 3 informe del servicio de información en materia de defensa jurídica</t>
  </si>
  <si>
    <t>Reportes e informes realizados</t>
  </si>
  <si>
    <t>BP2600278510201</t>
  </si>
  <si>
    <t>Capacitar 150 personas en Servicio de educación informal en los componentes del ciclo de defensa jurídica del Estado</t>
  </si>
  <si>
    <t>La actividad no cuenta con presupuesto disponible, a la espera de modificación del proyecto para realizar adición presupuestal</t>
  </si>
  <si>
    <t>BP2600278510301</t>
  </si>
  <si>
    <t>Realizar 3 documentos de planeación</t>
  </si>
  <si>
    <t>Al 31 de marzo  de 2024, se está empezando a desarrollar un informe con los lineamientos de planeación y gestión operativa del proyecto de prevención.
Se ha avanzado en un 3% / 15% de la ejecución física del producto.</t>
  </si>
  <si>
    <t>BP2600278510401</t>
  </si>
  <si>
    <t>Modelo de Prevención del daño antijurídico
operando</t>
  </si>
  <si>
    <t>Realizar 1 documento de lineamientos técnicos</t>
  </si>
  <si>
    <t>Sistemas de la información y la infraestructura tecnológica</t>
  </si>
  <si>
    <t xml:space="preserve">Modelo predictivo de fallos judiciales contra la entidad, implementado  </t>
  </si>
  <si>
    <t>Implementación del modelo predictivo de fallos judiciales en contra de Santiago de Cali</t>
  </si>
  <si>
    <t>BP26002784</t>
  </si>
  <si>
    <t>Departamento Administrativo de Gestión Jurídica Pública - Subdirección de Doctrina y Asuntos Normativos</t>
  </si>
  <si>
    <t>BP2600278410101</t>
  </si>
  <si>
    <t>Implementar 1 servicio de información</t>
  </si>
  <si>
    <t>Servicios de información implementados</t>
  </si>
  <si>
    <t>Al  31 de marzo de 2024 se ha avanzado en la ejecución de actividades desarrolladas para la disposición de la información en términos de mantenimiento, soporte técnico y análisis estadísticos. 
Se ha avanzado en un 4.5% / 30% de ejecución física de los productos que componen el proyecto.</t>
  </si>
  <si>
    <t>BP2600278410201</t>
  </si>
  <si>
    <t>Actualizar 2 servicios de información</t>
  </si>
  <si>
    <t>BP2600278410301</t>
  </si>
  <si>
    <t>Modelo predictivo de fallos judiciales contra
la entidad, implementado</t>
  </si>
  <si>
    <t>Realizar 1 documento de investigación</t>
  </si>
  <si>
    <t>Al 31 marzo de 2024 se ha desarrollado un informe de seguimiento y control de la información litigiosa el cual contiene el reporte estadístico de seguimiento de 4097 Demandas y medios alternativos de solución de conflictos activos en contra de la alcaldía.
Se ha alcanzado un 5.3% / 30% en la ejecución física del producto.</t>
  </si>
  <si>
    <r>
      <t xml:space="preserve">Al 31 de marzo de 2024 se han atendido más de </t>
    </r>
    <r>
      <rPr>
        <sz val="9"/>
        <color indexed="10"/>
        <rFont val="Arial Narrow"/>
        <family val="2"/>
      </rPr>
      <t>711</t>
    </r>
    <r>
      <rPr>
        <sz val="9"/>
        <rFont val="Arial Narrow"/>
        <family val="2"/>
      </rPr>
      <t xml:space="preserve"> actuaciones judiciales.
Al 31 de marzo de 2024, igualmente se ha gestionado el cumplimiento de pago de sentencias de </t>
    </r>
    <r>
      <rPr>
        <sz val="9"/>
        <color indexed="10"/>
        <rFont val="Arial Narrow"/>
        <family val="2"/>
      </rPr>
      <t>13</t>
    </r>
    <r>
      <rPr>
        <sz val="9"/>
        <rFont val="Arial Narrow"/>
        <family val="2"/>
      </rPr>
      <t xml:space="preserve"> providencias.
Al 31 de marzo de 2024 se han atendido más de </t>
    </r>
    <r>
      <rPr>
        <sz val="9"/>
        <color indexed="10"/>
        <rFont val="Arial Narrow"/>
        <family val="2"/>
      </rPr>
      <t>31</t>
    </r>
    <r>
      <rPr>
        <sz val="9"/>
        <rFont val="Arial Narrow"/>
        <family val="2"/>
      </rPr>
      <t xml:space="preserve"> solicitudes de emision de conceptos y revisión de actos administrativos.
Al 31 de marzo de 2024 se ha avanzado con un 7,9% / 45% en el logro ponderado del producto. 
</t>
    </r>
  </si>
  <si>
    <t>Cali, Gobierno incluyente</t>
  </si>
  <si>
    <t>Cooperación Técnica para el Desarrollo Distrital</t>
  </si>
  <si>
    <t>Modelo de Agencia de Cooperación Técnica implementada</t>
  </si>
  <si>
    <t>Pr</t>
  </si>
  <si>
    <t xml:space="preserve">Implementación de un modelo de agencia de cooperación en Santiago de  Cali </t>
  </si>
  <si>
    <t>BP26002678</t>
  </si>
  <si>
    <t>BP2600267810201</t>
  </si>
  <si>
    <t>Elaborar 1 documento de Política</t>
  </si>
  <si>
    <t>Documentos de política elaborados</t>
  </si>
  <si>
    <t>Se desarrollaron actividades en el marco del proyecto, logrando adelantar diferentes acciones como:
- Acercamientos para que la Alcaldía de Santiago de Cali establezca un memorando de entendimiento con la Organización de las Naciones Unidas para la Alimentación y la Agricultura (FAO) y otro con Expertise France.
- Preparación de la postulación del Plan Cali 500+ a la Convocatoria de Cooperación del Programa Desafío AOD 2024 de Seúl, Corea.
- Coordinación y preparación de la participación del Alcalde en la reunión del Advisory Committee on Local Governments and Biodiversity.
- Reuniones con actores estratégicos como APC, embajada de Emiratos Árabes Unidos, embajada de Colombia en Turquía, entre otros; para alinear objetivos y retos comunes.</t>
  </si>
  <si>
    <t xml:space="preserve">Secretaría de Gobierno </t>
  </si>
  <si>
    <t>Iniciativas frente a problemáticas priorizadas, co-creadas</t>
  </si>
  <si>
    <t>Implementación de iniciativas institucionales para enfrentar problemáticas de manera colaborativa en Santiago de Cali</t>
  </si>
  <si>
    <t>BP26003110</t>
  </si>
  <si>
    <t>BP2600311010101</t>
  </si>
  <si>
    <t>Generar 1 espacio de integración de oferta pública
(1 jornada de integración de oferta pública)</t>
  </si>
  <si>
    <t>Espacios de integración de oferta pública generados.</t>
  </si>
  <si>
    <t>Se avanzó de la siguiente forma:
* Se fortalecieron los espacios de dialogo de saberes entre el Observatorio Ciudadano de Transparencia y la Alcaldía de Cali, los cuales pretenden fortalecer una cultura de transparencia, a través del seguimiento a la gestión pública.  Los observatorios ciudadanos le apuntan a usar y producir información para prevenir la corrupción.
En estos espacios se pudo identificar las diferentes necesidades y problematicas alrededor de cada proyecto movilizador y dar una respuest de manera conjunta por parte de los Organismos de la Alcaldía de Cali.
En la implementación de iniciativas para la Transparencia y Participación, se realizaron tres (3) rendiciones de cuentas donde a sectores priorizados de los proyectos movilizadores Parque Pacifico, Bulevar de Oriente y Parque Tecnologico de Innovación San Fernando se mostraron los avances y resultados.</t>
  </si>
  <si>
    <t>BP2600311010201</t>
  </si>
  <si>
    <t>Realizar 3 documentos metodológicos 
(Realizar 3 Iniciativas co-creadas con la ciudadanía)</t>
  </si>
  <si>
    <t xml:space="preserve">Iniciativas colaborativas para seguimiento a problemas específicos, realizadas </t>
  </si>
  <si>
    <t>Implementación de iniciativas colaborativas para seguimiento a problemas específicos en Santiago de Cali</t>
  </si>
  <si>
    <t>BP26003111</t>
  </si>
  <si>
    <t>BP2600311110101</t>
  </si>
  <si>
    <t xml:space="preserve">Asistir técnicamente 5 entidades, organismos y/o dependencias 
</t>
  </si>
  <si>
    <t>En el desarollo del avance del producto se hizo presencia en la mesa de trabajo para la actualización presupuestal de los Parques para la vida con los Organismos que hacen parte de cada uno. Se partició en reunión con el Departamento Administrativo de Desarrollo e Innovación Institucional para revisar la politica de administración del riesgo y el mapa de riesgos de corrupción, con el propósito de identificar la ruta de la materialización de un riesgo de corrupción y de cómo el canal de denuncias puede ser un insumo para la actualización y fortalecimiento del mapa.
Con el cumplimiento de las actividades se apoyó en el diseño e implementación del dashboard de denuncias utilizando la herramienta Google Looker. El dashboard permite la visualización del estado de las denuncias que llegan a la Administración distrital, la cantidad de denuncias tramitadas y aquellas que están aún en trámite. Toda la información sirve para hacer seguimiento oportuno a las mismas. Se analizó el diseño del banner adaptado a Google form y el mailing para encuesta diagnosticas de los canales de denuncia de presuntos hechos de corrupción.</t>
  </si>
  <si>
    <t>BP2600311110201</t>
  </si>
  <si>
    <t>Realizar 3 documentos metodológicos
(Iniciativas colaborativas)</t>
  </si>
  <si>
    <t>Red de gestión de información y del conocimiento diseñado y operado</t>
  </si>
  <si>
    <t>Implementación red de observatorios de Santiago de Cali</t>
  </si>
  <si>
    <t>BP26003105</t>
  </si>
  <si>
    <t>BP2600310510101</t>
  </si>
  <si>
    <t>Asistir técnicamente 1 entidades, organismos y/o dependencias 
(Fortalecimiento de capacidades para el análisis de problemáticas priorizadas)</t>
  </si>
  <si>
    <t>La Red de Observatorios de Cali constituida y operando, realizó asistencias técnicas y rendiciones de cuentas, donde se articuló a los observatorios Ciudadanos en varios espacios de formación. Durante el desarollo de este proyecto, se lelvaron a cabo de seis mesas de trabajo y tres rendiciones de cuentas de intercambio de conocimientos, conociendo las necesidades y problematicas de cada uno de los proyectos movilizadores. Parque Pacifico, Bulevar de Oriente y Parque Tecnologico San Fernando.
En este sentido, se realizó el acompañamiento al Observatorio Ciudadano de Transparencia del Parque Pacifico (Secretaría de Cultura), se programó la jornada de "Volvamos a mi Cali Bella", donde se prestó la asistencia tecnica y acompañamiento de limpiez, control de movilidad por parte de Organismos de la Alcaldía de Cali. Con esta actividad realizada en el marco de este proyecto movilizador, incentiva en los ciudadanos el seguimiento y monitoreo de estos.
Se ha dejado evidencia de cada uno de estos encuentros a través de actas, listados de asistencia y material fotografico.</t>
  </si>
  <si>
    <t>BP2600310510201</t>
  </si>
  <si>
    <t>Elaborar 1 documento de investigación 
(Sistematización de la experiencia de operación de la Red)</t>
  </si>
  <si>
    <t>Ciudadanía Activa y Gobernanza</t>
  </si>
  <si>
    <t>Ciudadanía Empoderada</t>
  </si>
  <si>
    <t>Red de agentes institucionales con un plan específico para buen gobierno, abierto a la ciudadanía; operando</t>
  </si>
  <si>
    <t>Implementación de la escuela de buen gobierno en Cali</t>
  </si>
  <si>
    <t>BP26003102</t>
  </si>
  <si>
    <t>BP2600310210201</t>
  </si>
  <si>
    <t>Asistir técnicamente 10 entidades, organismos y/o dependencias, que conforman 1  Red de agentes institucionales</t>
  </si>
  <si>
    <t>Estrategia de Comunicación clara y transparente, implementada</t>
  </si>
  <si>
    <t xml:space="preserve">Implementación de estrategia de comunicación institucional clara y transparente en Santiago de Cali </t>
  </si>
  <si>
    <t>BP26003011</t>
  </si>
  <si>
    <t>BP2600301110101</t>
  </si>
  <si>
    <t>Realizar 1 documento de planeación
(Plan estratégico de comunicación y su ejecución desde la entidad)</t>
  </si>
  <si>
    <t xml:space="preserve">Se definió la estrategia de comunicación de la vigencia 2024 con acciones dirigidas tanto a público interno (nivel organizacional) como externo (nivel informativo). El trabajo incluyó definición, programación y control de contenidos informativos y divulgación institucional a través de medios propios. </t>
  </si>
  <si>
    <t>BP2600301110201</t>
  </si>
  <si>
    <t>Implementar 1 sistema de información
(Desarrollar acciones del plan de comunicación a nivel externo)</t>
  </si>
  <si>
    <t xml:space="preserve">En el marco del desarrollo de la estrategia, se garantizó la presencia de marca, el apoyo logístico y el correcto manejo del protocolo oficial en 110 eventos de la Administración Municipal </t>
  </si>
  <si>
    <t>Cultura Ciudadana</t>
  </si>
  <si>
    <t>Iniciativas institucionales y comunitarias en cultura cíudadana y promoción de nuevas normalidades apoyadas</t>
  </si>
  <si>
    <t>Desarrollo de una estrategia de articulación institucional para implementar iniciativas que dinamicen la cultura ciudadana para asumir la nueva normalidad en Cali.</t>
  </si>
  <si>
    <t>BP26003247</t>
  </si>
  <si>
    <t>BP2600324710101</t>
  </si>
  <si>
    <t>Documentos de lineamientos técnicos realizados.</t>
  </si>
  <si>
    <t>BP2600324710201</t>
  </si>
  <si>
    <t>Iniciativas institucionales y comunitarias en cultura ciudadana y promoción de nuevas normalidades apoyadas</t>
  </si>
  <si>
    <t xml:space="preserve">Asistir técnicamente 1 Instancia territorial para el apoyo a 21 iniciativas institucionales y comunitarias </t>
  </si>
  <si>
    <t>Instancias territoriales asistidas técnicamente</t>
  </si>
  <si>
    <t>Avance Físico</t>
  </si>
  <si>
    <t xml:space="preserve">Se realizó en el primer trimestre la planeación de las actividades del proyecto de inversión; con el análisis de la información pertinente del Departamento Administrativo de Control Interno y de la Entidad, para la estrategia de fomentar la cultura del control - enfoque hacia la prevención en los servidores publicos y contratistas en relación al plan de fomento.
De lo anterior se construye el cronograma de actividades vigencia 2024 y se determina los organimos a impactar, esta estrategia de sensibilización iniciara el 9 de abril del 2024 </t>
  </si>
  <si>
    <t xml:space="preserve">Realizar asistencia técnica a 6 organismos sobre control, autocontrol, autoevaluación y herramientas institucionales </t>
  </si>
  <si>
    <t xml:space="preserve">
De acuerdo al analisis de la información, se establecio para la vigencia 2024 la intervención a 6 organismos que presentaron debilidades en sus procesos en la vigencia 2023 en el que daremos inicio el 9 de abril del 2024 </t>
  </si>
  <si>
    <t>Servidores públicos y ciudadanos orientados en Código Disciplinario</t>
  </si>
  <si>
    <t xml:space="preserve">Difusión del componente preventivo de la ley disciplinaria a los servidores públicos de la alcaldía y a los ciudadanos de Santiago de Cali  </t>
  </si>
  <si>
    <t>BP-26002962</t>
  </si>
  <si>
    <t xml:space="preserve">Departamento Administrativo de Control Disciplinario Interno </t>
  </si>
  <si>
    <t>BP2600296210101</t>
  </si>
  <si>
    <t xml:space="preserve"> Servidores públicos y ciudadanos   Orientados en  Ley disciplinaria</t>
  </si>
  <si>
    <t>Orientar  en Ley disciplinaria a 960 servidores públicos de 12 organismos</t>
  </si>
  <si>
    <t>Entidades, organismos y dependencias asistidos tecnicamente. (Servidores  públicos orientadas en ley disciplinaria)</t>
  </si>
  <si>
    <t>Se han  realizado   jornadas de orientación  en ley disciplinaria logrando orientar a 71 servidores públicos  de  2 organismos de la admnistración distrital  (  secretaria de seguridad y justicia , Secretaria de  infraestructura )</t>
  </si>
  <si>
    <t>BP2600296210201</t>
  </si>
  <si>
    <t>Orientar en Ley disciplinaria a 250 ciudadanos de Santigo de Cali</t>
  </si>
  <si>
    <t>Personas   (ciudadanos) de Santiago de Cali orientados  en la Ley Disciplinaria.</t>
  </si>
  <si>
    <t>54020010041</t>
  </si>
  <si>
    <t>Expedientes activos de los procesos disciplinarios de vigencias anteriores terminados</t>
  </si>
  <si>
    <t>Fortalecimiento de la gestión disciplinaria en la alcaldía de Santiago de Cali</t>
  </si>
  <si>
    <t>BP-26002958</t>
  </si>
  <si>
    <t>BP2600295810101</t>
  </si>
  <si>
    <t xml:space="preserve">Expdientes  Activos  de los proceso disciplinarios  de vigencias anteriores terminados </t>
  </si>
  <si>
    <t>Terminar 310 expedientes activos de vigencias anteriores</t>
  </si>
  <si>
    <t>Documentos de investigación elaborados (Expedientes activos de los procesos disciplinarios de vigencias anteriores terminados)</t>
  </si>
  <si>
    <t xml:space="preserve">La ejecución de esta actividad  ha  permitido terminar   40  expedientes expedientes activos de los procesos disciplinarios  de vigencias anteriores </t>
  </si>
  <si>
    <t>BP2600295810201</t>
  </si>
  <si>
    <t>Actualización y mantenimiento de los  módulos del aplicativo Softcontrol</t>
  </si>
  <si>
    <t>Sistemas de información implementados (actualización y mantenimiento de los módulos del aplicativo SOFTCONTROL)</t>
  </si>
  <si>
    <t>En esta actividad   se encuetra  en proeso de inicio , proceso de contratación .</t>
  </si>
  <si>
    <t>Gestión de Información Estadística y Geográfica para la Evaluación de Resultados</t>
  </si>
  <si>
    <t>Investigaciones de la conducta oficial del servidor público, realizadas</t>
  </si>
  <si>
    <t xml:space="preserve"> Investigaciones  de la Conducta Oficial  de la Alcaldia   de Santiago de Cali </t>
  </si>
  <si>
    <t>BP-26002963</t>
  </si>
  <si>
    <t>BP2600296310101</t>
  </si>
  <si>
    <t xml:space="preserve"> Investigaciones  de la conducta oficial  del servidor público realizadas</t>
  </si>
  <si>
    <t>Realizar 2 investigaciones orientadas a la conducta oficial del Servidor público</t>
  </si>
  <si>
    <t>Documentos  de Investigación  elaborados (Investigaciones de la conducta oficial del servidor público, realizadas)</t>
  </si>
  <si>
    <t>Se definieron los dos temas de las investigaciones del  proyecto : Investigación de la Conducta Oficial del Servidor Público de la Alcaldía de Santiago de Cali, BP No. 26002963, se encunetra en la etapa de recoleccion de la información de los temas  de las investigaciones .</t>
  </si>
  <si>
    <t>,</t>
  </si>
  <si>
    <t xml:space="preserve">Ne se   han realizado   jornadas de orientación  en la ley disciplinaria a  ciudadanos  , se esta en la etapa de planeación y programación de ls jorndas de sensibilización </t>
  </si>
  <si>
    <t>Investigaciones de la dinámica inmobiliaria realizadas</t>
  </si>
  <si>
    <t>Mejoramiento del Mercado Inmobiliario del Distrito de Santiago de Cali</t>
  </si>
  <si>
    <t>BP26004810</t>
  </si>
  <si>
    <t>BP2600481010101</t>
  </si>
  <si>
    <t>Realizar  cálculo del efecto plusvalía producto de hechos generadores</t>
  </si>
  <si>
    <t>Avalúos Realizados</t>
  </si>
  <si>
    <t>En el mes de marzo se adelantarón las siguientes actividades en el marco de la determinación de las plusvalias:
* Respuesta técnica frente a los valores liquidados en el informe técnico del cálculo del efecto plusvalía para dar alcance al recurso de reposición del plan parcial guayacan.
* Solicitud de viabilidad y lineamientos de la contratación de la publicación del plan parcial guayacan
* circular de aclaración frente a las 9 resoluciones de liquidación de plusvalía denominadas centralidades.</t>
  </si>
  <si>
    <t>Departamento Administrativo de Hacienda 
Subdirección de Catastro</t>
  </si>
  <si>
    <t>BP2600481010201</t>
  </si>
  <si>
    <t>Actualizar la información económica a partir de los procesos catastrales generados</t>
  </si>
  <si>
    <t>Documentos Metodologicos Realizados</t>
  </si>
  <si>
    <t>En el periodo de nero a marzo se realizaron 133 procesos (actualización, análisis, generación, identificación, liquidación, selección, simulación) impactando 6.822.637 predios en su variable económica,  correspondiente a la atención de trámites catastrales y revisión valores generados en el marco de la misionalidad del proceso catastral..
En el mes de marzo se realizaron 93 procesos (actualización, análisis, generación, identificación, liquidación, selección, simulación) impactando 5.282.875 predios en su variable económica.</t>
  </si>
  <si>
    <t>BP2600481010301</t>
  </si>
  <si>
    <t>Realizar avalúos para la determinación del índice de valoración predial</t>
  </si>
  <si>
    <t>Avalúos realizados</t>
  </si>
  <si>
    <t>BP2600481010401</t>
  </si>
  <si>
    <t>Realizar la investigación de mercado a través de la captura de 2.100 ofertas inmobiliarias.</t>
  </si>
  <si>
    <t>Documentos de investigación generados</t>
  </si>
  <si>
    <t>BP2600481010501</t>
  </si>
  <si>
    <t>Elaborar documentos de investigación de la información catastral</t>
  </si>
  <si>
    <t>En el mes de marzo se realizó análisis del mercado inmobiliario, definición de valores m2 e informe de valores comerciales con el objetivo de fortalecer la elaboración del documento metodologico en la componente valuatoria, asi como el componente juridico y  análisis técnico de predios.</t>
  </si>
  <si>
    <t>BP2600481010601</t>
  </si>
  <si>
    <t xml:space="preserve">Consolidar información del mercado inmobiliario en la base de datos cartográfica
</t>
  </si>
  <si>
    <t xml:space="preserve">Observatorio de Hacienda Pública Distrital Operando </t>
  </si>
  <si>
    <t>Fortalecimiento en la recopilación y análisis de la información económica, financiera, fiscal y tributaria del Distrito de Cali</t>
  </si>
  <si>
    <t>BP26003435</t>
  </si>
  <si>
    <t>BP2600343510101</t>
  </si>
  <si>
    <t xml:space="preserve">Observatorio de Hacienda Pública implementado </t>
  </si>
  <si>
    <t>Elaborar documentos de investigación</t>
  </si>
  <si>
    <t xml:space="preserve">Marzo: Se apoyo a la subdirección de finanzas públicas en la documentación, conceptualización y medición de diversos temas relacionados con las finanzas  públicas (Incremento de recursos y eficiencia del gasto público, deuda).
Se avanzó en la recopilación de información relacionada con los ingresos y gastos públicos (z185 – z192) con el objetivo de plantear el problema de investigación denominado Eficiencia en el Gasto Público, un análisis para el Distrito Especial de Cali y análisis de la deuda pública.  
</t>
  </si>
  <si>
    <t>Departamento Administrativo de Hacienda Municipal - Subdirección de Finanzas Públicas</t>
  </si>
  <si>
    <t xml:space="preserve"> BP2600343510201</t>
  </si>
  <si>
    <t xml:space="preserve">Implementar el Servicio de información </t>
  </si>
  <si>
    <t>Marzo: Se ha recopilado y analizado información del sistema SAP (Z192 y Z185) correspondiente al mes de marzo del 2024 con el propósito de actualizar y enriquecer el tablero de control de manera periódica, alineándolo con el nuevo clasificador presupuestal. A través de esta evaluación, hemos identificado tendencias y calculado el indicador de porcentaje de ejecución sobre el gasto modificado (%G).</t>
  </si>
  <si>
    <t>Gestión Financiera Eficiente</t>
  </si>
  <si>
    <t>Recursos de vigencias anteriores en proceso de cobro persuasivo y coactivo recuperados</t>
  </si>
  <si>
    <t>Recuperación de cartera en Santiago de Cali</t>
  </si>
  <si>
    <t>BP26003619</t>
  </si>
  <si>
    <t>BP2600361910101</t>
  </si>
  <si>
    <t>Documentos de lineamientos - recuperación de $316.053 millones de pesos para 2024</t>
  </si>
  <si>
    <t>Documentos de Lineamientos técnicos realizado</t>
  </si>
  <si>
    <t>Al mes de Marzo se reporta en el informe una Cartera Recuperada $16.022 (millones de pesos) equivalente al 5,07% del Plan de Desarrollo al 2023 donde se deberá recaudar $316.053 (millones de pesos).
Fuente: Sistema SGAFT-SAP, transacción Z185, generado el  01 de abril 2024  a las 4:53 pm</t>
  </si>
  <si>
    <t>Departamento Administrativo de hacienda Municipal. Subdirección de Tesorería</t>
  </si>
  <si>
    <t xml:space="preserve">BP2600361910201 </t>
  </si>
  <si>
    <t>Se consolida en el informe de la gestión del servicio de información actualizado para la recuperación de cartera en Santiago de Cali, generando la actualización del reporte del recaudo en SAP</t>
  </si>
  <si>
    <t>Ingresos de la vigencia actual de Impuesto Predial Unificado e Impuesto de Industria y Comercio y otros recaudados</t>
  </si>
  <si>
    <t>Fortalecimiento del recaudo de la vigencia corriente en Cali</t>
  </si>
  <si>
    <t>BP26003620</t>
  </si>
  <si>
    <t xml:space="preserve">BP2600362010101 </t>
  </si>
  <si>
    <t>Documentos de lineamientos técnicos (recaudo de $1.404.721 millones de pesos para 2024)</t>
  </si>
  <si>
    <t>Documentos de Lineamientos técnicos realizado </t>
  </si>
  <si>
    <t>Al mes de Marzo se reporta recaudo vigencia corriente de $ 523.606 (millones de pesos) , equivalente a un 37,27% . Respecto el Plan de Desarrollo al 2023 se deberá recaudar $1.404.721 (millones de pesos).
Fuente: Sistema SGAFT-SAP, transacción Z185, generado el  01 de abril 2024  a las 4:53 pm</t>
  </si>
  <si>
    <t>BP2600362010201</t>
  </si>
  <si>
    <t>Se consolida en el informe de la gestión del servicio de información actualizado para el recaudo en la vigencia corriente de Cali, generando la actualización del reporte del recaudo en SAP</t>
  </si>
  <si>
    <t>Fortalecimiento de la Tributación en Santiago de Cali</t>
  </si>
  <si>
    <t>BP26003617</t>
  </si>
  <si>
    <t>BP2600361710101</t>
  </si>
  <si>
    <t>Sostenibilidad de los niveles de cumplimiento de las obligaciones tributarias de Impuesto Predial Unificado e ICA en Santiago de Cali y otros</t>
  </si>
  <si>
    <t>Tener 1 servicio de Información implementado para la generación de documentos de cobro, atención al Contribuyente, actualización de la cuenta corriente y aplicación de Actos Administrativos para incrementar los niveles de cumplimiento de las obligaciones tributarias .</t>
  </si>
  <si>
    <t>Número de Sistemas de información implementados</t>
  </si>
  <si>
    <t>Dctos cobro Centros de Atención IPU 394.883 y ICA 4.503
Atención personalizada 145.156
Ajustes Cta Cte 50.159 - * Datic realizó 18.711 ajustes(TN)*
Aplicación Actos Adtivos 523
Indicador Plan de Desarrollo Feb 2024: V1: 64.289 / V2: 716.376 = 8,7%</t>
  </si>
  <si>
    <t>Departamento Administrativo de Hacienda - Subdirección de Impuestos y Rentas</t>
  </si>
  <si>
    <t>BP2600361710201</t>
  </si>
  <si>
    <t>Elaborar 201.436 documentos metodoligocos
(Actos Administrativos de tributos distritales), como resultado de las investigaciones tributarias realizadas</t>
  </si>
  <si>
    <t>Numero de Documentos metodologicos Elaborados</t>
  </si>
  <si>
    <t xml:space="preserve">Investig tributarias fiscalización: Inex 42, Otros tributos 178
Gestión  Actos Adminsitrativos: Determinación 9 Liq. Oficiales y 385 Discusión Tributaria
</t>
  </si>
  <si>
    <t>BP2600361710301</t>
  </si>
  <si>
    <t>Realizar 8 Cuadros de resultados para la temática de cultura</t>
  </si>
  <si>
    <t>Número de Cuadros de resultados para la temática de cultura</t>
  </si>
  <si>
    <t>En el mes de marzo ingresaron tres (3) contratistas para dar inicio a las estrategias de cultura planeadas para la vigencia 2024</t>
  </si>
  <si>
    <t>Predios actualizados por conservación catastral</t>
  </si>
  <si>
    <t>Fortalecimiento de la información Catastral del Distrito de Santiago de Cali</t>
  </si>
  <si>
    <t>BP26003426</t>
  </si>
  <si>
    <t>BP2600342610101</t>
  </si>
  <si>
    <t>Predios actualizados por Conservación Catastral</t>
  </si>
  <si>
    <t>Realizar actualización de 86.000 predios en el área urbana y rural a través de la conservación Catastral.</t>
  </si>
  <si>
    <t>Predios Actualizados Catastralmente</t>
  </si>
  <si>
    <t>En el periodo de enero a marzo se actualizaron 5.496 predios a través del sub proceso de conservación catastral, actualizados a través de las diferentes mutaciones catastrales a petición de parte y de oficio, con un porcentaje de cumplimiento del indicador de PDD del 6.4%.
Para el mes de marzo, se actualizaron 2.291predios a solicitud de parte y de oficio.</t>
  </si>
  <si>
    <t>BP2600342610201</t>
  </si>
  <si>
    <t>Actualizar la información cartográfica conforme los cambios reflejados en los predios urbanos y rurales.</t>
  </si>
  <si>
    <t>Cartografía Generada</t>
  </si>
  <si>
    <t>En el periodo de enero a marzo se realizó edición de la base cartografica a 5.855 predios (3.212 urbanos y 2.643 rurales).
Para el  mes de marzo se realizó edición en la base cartografica de 422 predios (251 urbanos y 171 rurales).
En el periodo de enero a marzo no se realizó incorporación en la base de datos cartografica de los cambios realizados por los equipos a través de las mutaciones catastrales.</t>
  </si>
  <si>
    <t>Software del Sistema de Información Catastral Implementado</t>
  </si>
  <si>
    <t>Fortalecimiento del Sistema de Gestión Catastral con Enfoque Multiproposito de Santiago de Cali</t>
  </si>
  <si>
    <t>BP26005100</t>
  </si>
  <si>
    <t>BP2600510010101</t>
  </si>
  <si>
    <t>Renovar el sistema de Gestión Catastral Multipropósito</t>
  </si>
  <si>
    <t>BP2600367210101</t>
  </si>
  <si>
    <t>Implementar el nuevo sistema de información catastral multipropósito</t>
  </si>
  <si>
    <t>Apoyar la gestión operativa del sistema de Gestión Catastral Multipropósito</t>
  </si>
  <si>
    <t>Actualización Catastral Rural</t>
  </si>
  <si>
    <t>Actualización del censo catastral con enfoque multiproósito del Distrito Santiago de Cali</t>
  </si>
  <si>
    <t xml:space="preserve">Departamento Administrativo de Hacienda </t>
  </si>
  <si>
    <t>BP2600474110101</t>
  </si>
  <si>
    <t>Predios actualizados con enfoque multipropósito</t>
  </si>
  <si>
    <t>Realizar actualización de las variaciones fisicas, juridicas y economicas de los predios urbanos.</t>
  </si>
  <si>
    <t>Predios catastralmente actualizados con enfoque multipropósito</t>
  </si>
  <si>
    <t>BP2600474110102</t>
  </si>
  <si>
    <t>Actualizar la información capturada en la base de datos cartografica.</t>
  </si>
  <si>
    <t>BP2600474110103</t>
  </si>
  <si>
    <t>Actualizar el estudio de zonas homogéneas físicas y geoeconómicas del área urbana de la ciudad.</t>
  </si>
  <si>
    <t>Avaluos realizados</t>
  </si>
  <si>
    <t>BP2600474110104</t>
  </si>
  <si>
    <t>Generar información con enfoque multiproposito</t>
  </si>
  <si>
    <t>En el periodo de enero a marzo se han capturado 798 ofertas de mercado de la dinamica inmobiliaria de la ciudad a través de metodos indirectos, para posterior realización de fichas de avalúos y publicación en el geoportal de la Subdirección de Catastro.
En el mes de marzo se realizó la captura de 390 ofertas inmobiliarias a través de metodos indirectos  en el área urbana y rural del Distrito Santiago de Cali</t>
  </si>
  <si>
    <t>Centro de Monitoreo Ambiental, con plataforma de vigilancia y control, construido y operando</t>
  </si>
  <si>
    <t>Fortalecimiento del Laboratorio Ambiental en el Marco de la Plataforma de Vigilancia y Control de Santiago de Cali</t>
  </si>
  <si>
    <t>BP26002583</t>
  </si>
  <si>
    <t>BP2600258310101</t>
  </si>
  <si>
    <t>Centro de Monitoreo Ambiental, con
plataforma de vigilancia y control, construido
y operando.</t>
  </si>
  <si>
    <t>Realizar un (1) mantenimiento al laboratorio ambiental para el desempeño de la investigación ambiental (vigilancia y control).</t>
  </si>
  <si>
    <t>Estaciones de investigación adecuadas y dotadas para el desempeño de la investigación mejoradas y dotadas.</t>
  </si>
  <si>
    <t>Se realizó programa anual de mantenimiento del laboratorio. Se realizó programa de ejecución de monitoreos (caracterizaciones de aguas y análisis de laboratorio). Se realizó mantenimiento y limpieza de los equipos del laboratorio. Se actualizó inventario del estado de equipos del laboratorio. Se realizaron verificaciones internas para aseguramiento de los resultados de las mediciones de los equipos del laboratorio.</t>
  </si>
  <si>
    <t>DAGMA
(Subdirección de Gestión de Calidad Ambiental).</t>
  </si>
  <si>
    <t>BP2600258310201</t>
  </si>
  <si>
    <t>Mantener un (1) laboratorio de calidad ambiental acreditado.</t>
  </si>
  <si>
    <t>Laboratorio de calidad ambiental acreditado.</t>
  </si>
  <si>
    <t>Se realizaron actividades de actualización del sistema de gestión a la actual versión de la NTC ISO/IEC 17025:2017. Se actualizaron los procedimientos e instructivos del laboratorio. Se realizaron capacitaciones sobre la nueva versión de la norma 17025:2017.</t>
  </si>
  <si>
    <t>Mejoramiento del Sistema Integral del Recurso Hídrico en el Marco de Plataforma de Vigilancia y Control de Santiago de Cali</t>
  </si>
  <si>
    <t>BP26002584</t>
  </si>
  <si>
    <t>BP2600258410101</t>
  </si>
  <si>
    <t>Centro de Monitoreo Ambiental, con
plataforma de vigilancia y control, construido
y operando</t>
  </si>
  <si>
    <t>Realizar 136 servicios de monitoreo hidrológico</t>
  </si>
  <si>
    <t>Visitas de monitoreo del recurso hídrico,</t>
  </si>
  <si>
    <t>Se inició el proceso de planificación para el seguimiento y control a las captaciones de agua subterráneas sin concesión y evaluaciones de afloramiento.</t>
  </si>
  <si>
    <t>BP2600258410103</t>
  </si>
  <si>
    <t>Realizar 10 documentos de planeación para la gestión integral del recurso hídrico.</t>
  </si>
  <si>
    <t>Documentos de planeación realizados.</t>
  </si>
  <si>
    <t>Se inició el proceso de planificación para la gestión integral del recurso hídrico.</t>
  </si>
  <si>
    <t>BP2600258410201</t>
  </si>
  <si>
    <t>Realizar 580 servicios de seguimiento y control a usuarios del recurso hídrico.</t>
  </si>
  <si>
    <t xml:space="preserve">Servicios de seguimiento y control a usuarios del recurso hídrico, realizado. </t>
  </si>
  <si>
    <t xml:space="preserve">Se presentó retraso en la ejecución de actividades debido a bloqueo del proyecto por imputación presupuestal. </t>
  </si>
  <si>
    <t>BP2600258410202</t>
  </si>
  <si>
    <t>Realizar 175 documentos (conceptos) técnicos ambientales para la gestión integral del recurso hídrico.</t>
  </si>
  <si>
    <t>Control de Impactos Ambientales Generados por el Sector Industrial, Comercial y de Servicio de Santiago de Cali</t>
  </si>
  <si>
    <t>BP26002593</t>
  </si>
  <si>
    <t>BP2600259310101</t>
  </si>
  <si>
    <t>Realizar 6 documentos de Regulación de impactos ambientales generados por fuentes fijas de empresas legalmente constituidas</t>
  </si>
  <si>
    <t>Se realizaron 12 visitas de verificación para responder a requerimientos de la comunidad.</t>
  </si>
  <si>
    <t>BP2600259310102</t>
  </si>
  <si>
    <t>Realizar 391 documentos de Control de los vertimientos generados por actividades empresariales legalmente constituidas</t>
  </si>
  <si>
    <t>Documentos normativos realizados.</t>
  </si>
  <si>
    <t>En el periodo enero – marzo de 2024 se realizaron 48 informes técnicos de incumplimiento a la norma de vertimientos. Por otra parte, se recibieron 15 solicitudes de exoneración de vertimientos y 4 planes de mejoramiento. Adicionalmente, se han atendido 4 peticiones correspondiente al sector empresarial.</t>
  </si>
  <si>
    <t>BP2600259310201</t>
  </si>
  <si>
    <t>Administración de 3 subsistemas de información del  SIUR:  RESPEL, RUA y PCB</t>
  </si>
  <si>
    <t>Sistemas de información para la gestión.</t>
  </si>
  <si>
    <t>Plataformas actualizadas y operando con normalidad. Estas (3) plataformas son denominadas: PCB, RUA y RESPEL. Se prestó atención a solicitudes de información relacionadas.</t>
  </si>
  <si>
    <t xml:space="preserve">Economía Solidaria y del Bien Colectivo </t>
  </si>
  <si>
    <t>Fortalecimiento a las Unidades Productivas Rurales y Mercados de Paz</t>
  </si>
  <si>
    <t>Familias de pequeños y medianos productores rurales y huerteros urbanos, con asistencia técnica para la producción agropecuaria con enfoque agroecológico, para fortalecer la seguridad y soberanía alimentaria con enfoque diferencial y de género</t>
  </si>
  <si>
    <t>Asistencia Técnica con Enfoque Agroecológico a Pequeños y Medianos Productores para Fortalecer la Seguridad y Soberanía Alimentaria en Santiago de Cali.</t>
  </si>
  <si>
    <t>BP26002600</t>
  </si>
  <si>
    <t>BP2600260010101</t>
  </si>
  <si>
    <t xml:space="preserve">Servicio de Asistencia Técnica Agropecuaria, dirigida a pequeños productores </t>
  </si>
  <si>
    <t>Realizar 150 servicios de asistencia técnica agropecuaria para la seguridad y soberanía alimentaria de pequeños productores rurales.</t>
  </si>
  <si>
    <t xml:space="preserve">Pequeños productores rurales asistidos técnicamente. </t>
  </si>
  <si>
    <t xml:space="preserve">En el periodo enero – marzo 31 de 2024 NO se efectuaron asistencias técnicas a pequeños y medianos productores. El proyecto aún no se ha socializado ante los Comités de Planificación debido a que estos se encuentran en proceso de instalación, por ello, se ha generado un retraso en la atención y realización de asistencia técnicas. No obstante, se atendieron cinco (5) solicitudes efectuadas por pequeños productores rurales. </t>
  </si>
  <si>
    <t>DAGMA
(Subdirección de Gestión Integral de Ecosistemas y Unidad Municipal de Asistencia Técnica – UMATA)</t>
  </si>
  <si>
    <t>Fortalecimiento de Huertas Agroecológicas en Santiago de Cali</t>
  </si>
  <si>
    <t>BP26002804</t>
  </si>
  <si>
    <t>BP2600280410201</t>
  </si>
  <si>
    <t>Servicio de asistencia a huertas.</t>
  </si>
  <si>
    <t>Capacitar 7 personas en producción agroecológica para el establecimiento, sostenimiento y/o fortalecimiento de huertas.</t>
  </si>
  <si>
    <t>Personas capacitadas.</t>
  </si>
  <si>
    <t xml:space="preserve">En el periodo enero – marzo de 2024 se estableció la línea base de las huertas que se encuentran activas, tano de las realizadas por el DAGMA como de otras dependencias de la Alcaldía, para programación de las visitas de asesoría técnica. 
Se programó metodología para definir de la línea de trabajo que tendrá el DAGMA en el tema de huertas.
</t>
  </si>
  <si>
    <t>BP2600260010301</t>
  </si>
  <si>
    <t xml:space="preserve">Realizar un (1) servicio de asesoría para el fortalecimiento de la asociatividad </t>
  </si>
  <si>
    <t xml:space="preserve">Asociaciones fortalecidas </t>
  </si>
  <si>
    <t>Al corte 31 de marzo de la presente vigencia (2024), no se registran avances en las acciones de fortalecimiento del Consejo de Desarrollo Rural, debido a que esta organización aún no se ha instalado. No obstante, se avanzó en la selección de los delegados de las organizaciones por parte de la comunidad.</t>
  </si>
  <si>
    <t>BP2600260010201</t>
  </si>
  <si>
    <t>Capacitar 30 personas en Buenas Prácticas Agrícolas y producción sostenible (BPA, BPM y PML).</t>
  </si>
  <si>
    <t>Al corte 31 de marzo de la presente vigencia (2024), no se han seleccionado a los usuarios a capacitar. No obstante, se trabajó en las temáticas de educación informal en Buenas Prácticas Agrícolas y producción sostenible.</t>
  </si>
  <si>
    <t>Generación de Huertas Agroecológicas para Contribuir la Seguridad y Soberanía Alimentaria en la Comuna 1 de Santiago de  Cali.</t>
  </si>
  <si>
    <t>BP26005040</t>
  </si>
  <si>
    <t>BP2600504010101</t>
  </si>
  <si>
    <t>Prestar 100 servicios de educación informal ambiental</t>
  </si>
  <si>
    <t>Se programó reunión con líderes de la Comuna 1 para determinar las personas a capacitar. Se inició en proceso de inscripción en el Plan Anual de Adquisiciones – PAA para adquirir los elementos necesarios para iniciar el proceso.</t>
  </si>
  <si>
    <t>BP2600504010201</t>
  </si>
  <si>
    <t>Prestar 20 servicios de asistencia técnica para la implementación de las estrategias educativo ambientales y de participación</t>
  </si>
  <si>
    <t xml:space="preserve">Estrategias educativo ambientales y de participación implementadas </t>
  </si>
  <si>
    <t>Espacios públicos efectivos adecuados arquitectónica y paisajísticamente con empoderamiento ciudadano</t>
  </si>
  <si>
    <t>Recuperación Ambiental y Paisajística en Zonas Verdes y Parques de Santiago de Cali</t>
  </si>
  <si>
    <t>BP26002733</t>
  </si>
  <si>
    <t>BP2600273310101</t>
  </si>
  <si>
    <t>Espacios públicos efectivos adecuados</t>
  </si>
  <si>
    <t xml:space="preserve">Adecuar 1 parque (4847 metros cuadrados) en Santiago de Cali. </t>
  </si>
  <si>
    <t>Parques mejorados.</t>
  </si>
  <si>
    <t xml:space="preserve">No se reporta avance en obra. Se solicitó, modificación del Plan Anual Adquisitivo – PAA conforme al cronograma que se elaboró para la ejecución del proyecto.  </t>
  </si>
  <si>
    <t>BP2600273310102</t>
  </si>
  <si>
    <t xml:space="preserve">Adecuar 1 zona verde (separador 1070 metros cuadrados) en Santiago de Cali. </t>
  </si>
  <si>
    <t>Zonas verdes adecuadas</t>
  </si>
  <si>
    <t>BP2600273310201</t>
  </si>
  <si>
    <t>Elaborar 4 documentos de planificación y el  seguimiento de las intervenciones programadas para zonas blandas de separadores viales, parques y zonas verdes.</t>
  </si>
  <si>
    <t xml:space="preserve">Al 31 de marzo de la presente vigencia (2024) se realizó la planificación para iniciar la gestión administrativa de las13 intervenciones en parques, separadores y zonas verdes programadas por presupuesto participativo en el POAI 2024. Por otra parte, se avanzó en el seguimiento a 4 zonas blandas, separadores, parques y zonas verdes pendientes de ejecución (dichos pendientes corresponden a vigencias anteriores). </t>
  </si>
  <si>
    <t>BP2600273310301</t>
  </si>
  <si>
    <t xml:space="preserve">Realizar un (1) servicio de asistencia técnica en espacio público para el control de la hormiga arriera </t>
  </si>
  <si>
    <t>Entidades territoriales asistidas técnicamente.</t>
  </si>
  <si>
    <t>En el marco de la asistencia técnica para el control de hormiga arriera, al corte 31 de marzo de 2024 se realizaron 3 caracterizaciones e intervenciones a nidos para control de la hormiga arriera (Atta cephalotes) para la sostenibilidad ambiental y paisajística en parques y zonas verdes de espacios públicos</t>
  </si>
  <si>
    <t>Recuperación Ambiental y Paisajística del Espacio Público en Parques y Zonas Verdes de la Comuna 21 de Santiago de Cali.</t>
  </si>
  <si>
    <t>BP26003231</t>
  </si>
  <si>
    <t>BP2600323110101</t>
  </si>
  <si>
    <t>Espacios públicos efectivos adecuados
arquitectónica y paisajísticamente con
empoderamiento ciudadano.</t>
  </si>
  <si>
    <t>Adecuar 1 parque (630 metros cuadrados) en la Comuna 21.</t>
  </si>
  <si>
    <t>Mejoramiento Ambiental y Paisajístico de Parques y Zonas Verdes del Espacio Público de la Comuna 3 de Santiago de Cali.</t>
  </si>
  <si>
    <t>BP26004384</t>
  </si>
  <si>
    <t>BP2600438410101</t>
  </si>
  <si>
    <t>Adecuar 1 parque (838 metros cuadrados) en la Comuna 3.</t>
  </si>
  <si>
    <t>Mejoramiento Ambiental y Paisajístico de Parques y Zonas Verdes del Espacio Público de la Comuna 5 de Santiago de Cali.</t>
  </si>
  <si>
    <t>BP26004385</t>
  </si>
  <si>
    <t>BP2600438510101</t>
  </si>
  <si>
    <t>Espacios públicos efectivos adecuados
arquitectónica y paisajísticamente con
empoderamiento ciudadano</t>
  </si>
  <si>
    <t>Adecuar 3 parque (2519 metros cuadrados) en la Comuna 5.</t>
  </si>
  <si>
    <t>Mejoramiento Ambiental y Paisajístico de Parques y Zonas Verdes del Espacio Público de la Comuna 16 de Santiago de Cali.</t>
  </si>
  <si>
    <t>BP26004387</t>
  </si>
  <si>
    <t>BP2600438710201</t>
  </si>
  <si>
    <t>Adecuar 1 parque (8700 metros cuadrados) en la Comuna 16.</t>
  </si>
  <si>
    <t>Parques mejorados</t>
  </si>
  <si>
    <t>Mejoramiento Ambiental y Paisajístico de Parques y Zonas Verdes del Espacio Público de la Comuna 19 de Santiago de Cali.</t>
  </si>
  <si>
    <t>BP26004429</t>
  </si>
  <si>
    <t>BP2600442910101</t>
  </si>
  <si>
    <t>Adecuar 3 parques (4700 metros cuadrados) en la Comuna 19.</t>
  </si>
  <si>
    <t>Mejoramiento ambiental y paisajístico de parques y zonas verdes del espacio público de la Comuna 17 de Santiago de Cali</t>
  </si>
  <si>
    <t>BP26004928</t>
  </si>
  <si>
    <t>BP2600492810101</t>
  </si>
  <si>
    <t xml:space="preserve">Adecuar 2 parque (6088 metros cuadrados) en Santiago de Cali. </t>
  </si>
  <si>
    <t>Mejoramiento Ambiental y Paisajístico de Parques y Zonas Verdes del Espacio Público de la Comuna 12 de Santiago de Cali.</t>
  </si>
  <si>
    <t>BP26004929</t>
  </si>
  <si>
    <t>BP2600492910201</t>
  </si>
  <si>
    <t xml:space="preserve">Adecuar 1 zonas verde adecuadas  (6088 metros cuadrados) en Santiago de Cali. </t>
  </si>
  <si>
    <t xml:space="preserve">Conservación de las Cuencas Hidrográficas </t>
  </si>
  <si>
    <t>Área para la gestión sostenible de las cuencas hidrográficas, a través de pago por servicios ambientales, restauración y protección de nacimientos, en conservación, con enfoque diferencial y de género</t>
  </si>
  <si>
    <t>Implementación de Incentivos para la Conservación de los Servicios Ambientales de las Áreas de Gestión Sostenible de Cuencas Hidrográficas de Santiago de Cali.</t>
  </si>
  <si>
    <t>BP26002594</t>
  </si>
  <si>
    <t>BP2600259410101</t>
  </si>
  <si>
    <t>Área para la gestión sostenible de las
cuencas hidrográficas, a través de pago por
servicios ambientales</t>
  </si>
  <si>
    <t>Implementar en 1478 ha el esquema de pago por Servicios ambientales.</t>
  </si>
  <si>
    <t xml:space="preserve"> Áreas con esquemas de Pago por Servicios Ambientales implementado</t>
  </si>
  <si>
    <t xml:space="preserve">Al 31 de marzo de la presente vigencia (2024) en lo referente a la aplicación del Incentivo PSA, se inició con la aplicación de la metodología de selección, priorización y formalización de acuerdos voluntario. Lo anterior con el fin de definir los predios a aplicar del programa de Pago por Servicios Ambientales – PSA. </t>
  </si>
  <si>
    <t>BP2600259410201</t>
  </si>
  <si>
    <t>Capacitar 200 personas en conservación de biodiversidad y servicio ecosistémicos.</t>
  </si>
  <si>
    <t xml:space="preserve">Al 31 de marzo de la presente vigencia (2024) se elaboró cronograma para definir las jornadas a realizarse en el marco de fortalecer la implementación del del programa de Pago por Servicios Ambientales – PSA. </t>
  </si>
  <si>
    <t>Restauración Ecológica de Áreas Degradadas en las Cuencas Hidrográficas y Protección de Predios de Conservación de Santiago de Cali.</t>
  </si>
  <si>
    <t>BP26002598</t>
  </si>
  <si>
    <t>BP2600259810101</t>
  </si>
  <si>
    <t>Área para la gestión sostenible de las
cuencas hidrográficas en conservación</t>
  </si>
  <si>
    <t>Implementar procesos de restauración en 2176,65 ha  en predios públicos.</t>
  </si>
  <si>
    <t>Áreas en proceso de restauración.</t>
  </si>
  <si>
    <t>Se avanzó la elaboración de estudios previos y análisis del sector para la contratación del mantenimiento de la restauración activa y pasiva en los predios de conservación del DAGMA.</t>
  </si>
  <si>
    <t>BP2600259810201</t>
  </si>
  <si>
    <t>Proteger 1499,09 ha de ecosistemas.</t>
  </si>
  <si>
    <t>Áreas de ecosistemas protegidas.</t>
  </si>
  <si>
    <t>Se realizó seguimiento a los predios de conservación administrados por el DAGMA y/o de propiedad del Distrito. Se cuenta con poco personal de campo. Se está unificando la compra de herramientas, insumos y suministros. El proceso de determinación de E. Coli se encuentra pendiente por unificar.</t>
  </si>
  <si>
    <t>Implementación de Prácticas con Enfoque Agroecológico Dirigidas a Pequeños y Medianos Productores del Saladito en Santiago de Cali.</t>
  </si>
  <si>
    <t>BP26003203</t>
  </si>
  <si>
    <t>BP2600320310101</t>
  </si>
  <si>
    <t>Prestar servicio de educación informal a 70 personas en el marco de la conservación de la biodiversidad y los servicios ecosistémicos</t>
  </si>
  <si>
    <t>Durante el primer trimestre se avanza en los procesos precontractuales.</t>
  </si>
  <si>
    <t>BP2600320310201</t>
  </si>
  <si>
    <t>Área para la gestión sostenible de las
cuencas hidrográficas, a través de pago por
servicios ambientales, restauración y
protección de nacimientos.</t>
  </si>
  <si>
    <t>Implementar procesos de restauración en 5,5 ha  de ecosistemas en el corregimiento El Saladito.</t>
  </si>
  <si>
    <t xml:space="preserve">Áreas (ha) con proceso de restauración implementados.  </t>
  </si>
  <si>
    <t>Por decisión de la dirección de la entidad, se están consolidando los procesos de Restauración en Corazón de Pance, Predios de Conservación y EL Saladito, para adelantar un solo proceso contractual, el cual se tiene programado en el PAA de abril.</t>
  </si>
  <si>
    <t>Implementación de Acciones para el Mantenimiento del Humedal Pacheco en el Corregimiento de Navarro de Santiago de Cali</t>
  </si>
  <si>
    <t>BP26004118</t>
  </si>
  <si>
    <t>BP2600411810101</t>
  </si>
  <si>
    <t>Implementar procesos de restauración en 2 ha  del humedal Pacheco y franja forestal protectora del río Cauca en el corregimiento de Navarro.</t>
  </si>
  <si>
    <t xml:space="preserve">Hectáreas en proceso de restauración. </t>
  </si>
  <si>
    <t xml:space="preserve">Se programó iniciar su proceso precontractual en el mes de abril. </t>
  </si>
  <si>
    <t>BP2600411810201</t>
  </si>
  <si>
    <t xml:space="preserve">Capacitar 45 personas en promoción y cultura ambiental. </t>
  </si>
  <si>
    <t>Humedales con planes de manejo ambiental o planes de acción en ejecución</t>
  </si>
  <si>
    <t>Implementación de Acciones para la Conservación de los Humedales de Santiago de Cali.</t>
  </si>
  <si>
    <t>BP26002597</t>
  </si>
  <si>
    <t>BP2600259710101</t>
  </si>
  <si>
    <t>Humedales con planes de manejo ambiental
o planes de acción en ejecución.</t>
  </si>
  <si>
    <t>Preservar 50 ha de humedales.</t>
  </si>
  <si>
    <t>Se realizó la identificación, planeación y ejecución de acciones para el mantenimiento, control y seguimiento del proceso de restauración en humedales públicos de Santiago de Cali.</t>
  </si>
  <si>
    <t>BP2600259710201</t>
  </si>
  <si>
    <t>Actualizar 3 documentos  de lineamientos técnicos (PMA) para la conservación de humedales.</t>
  </si>
  <si>
    <t>Se inició la elaboración de los documentos técnicos programados para el periodo.</t>
  </si>
  <si>
    <t>BP2600259710301</t>
  </si>
  <si>
    <t xml:space="preserve">Capacitar 500 personas en conservación de humedales. </t>
  </si>
  <si>
    <t>Se programó inicio de proceso precontractual para el mes de abril.</t>
  </si>
  <si>
    <t>Sistema Municipal de Áreas Protegidas – SIMAP, ampliado y fortalecido a través del incremento en áreas protegidas y la ejecución de los planes de manejo ambiental</t>
  </si>
  <si>
    <t>Fortalecimiento del Sistema Municipal de Áreas Protegidas y Estrategias de Conservación - SIMAP Santiago de Cali.</t>
  </si>
  <si>
    <t>BP26002596</t>
  </si>
  <si>
    <t>BP2600259610101</t>
  </si>
  <si>
    <t>Sistema Municipal de Áreas Protegidas -
SIMAP, ampliado y fortalecido a través del
incremento en áreas protegidas y la
ejecución de los planes de majeo ambiental.</t>
  </si>
  <si>
    <t>Proteger 2230 ha de ecosistemas en el marco del SIMAP.</t>
  </si>
  <si>
    <t>Áreas de ecosistemas protegidos.</t>
  </si>
  <si>
    <t>Se avanzó en la revisión y desarrollo de las estrategias de mantenimiento, conservación y vigilancia en las áreas del SIMAP Cali de acuerdo con los PMA. Se cuenta con deficiente personal en campo.</t>
  </si>
  <si>
    <t>BP2600259610201</t>
  </si>
  <si>
    <t>Realizar 1 documentos de lineamientos técnicos para la actualización de PMA en el marco del SIMAP.</t>
  </si>
  <si>
    <t>Se comienza con el proceso precontractual para poder dar inicio a la ejecución de las actividades.</t>
  </si>
  <si>
    <t>BP2600259610301</t>
  </si>
  <si>
    <t>Realizar 2 documentos de planeación para la operatividad del SIMAP.</t>
  </si>
  <si>
    <t xml:space="preserve">Documentos de planeación realizados. </t>
  </si>
  <si>
    <t>Se inició con la planificación y seguimiento a las acciones de operatividad del SIMAP. Se realiza revisión del Plan de Acción y reglamento SIMAP elaborados en 2023.</t>
  </si>
  <si>
    <t>BP2600259610401</t>
  </si>
  <si>
    <t>Capacitar 11350 personas para el posicionamiento del SIMAP.</t>
  </si>
  <si>
    <t>Se indicó con proceso precontractual para el desarrollo de la actividad.</t>
  </si>
  <si>
    <t>Obras e intervenciones para la descontaminación hídrica de las fuentes superficiales, en el marco de la recuperación del río Cauca, ejecutadas</t>
  </si>
  <si>
    <t>Descontaminación de las Fuentes Hídricas Superficiales de Santiago de Cali.</t>
  </si>
  <si>
    <t>BP26002582</t>
  </si>
  <si>
    <t>BP2600258210201</t>
  </si>
  <si>
    <t>Obras e intervenciones para la descontaminación hídrica de las fuentes superficiales, en el marco de  la recuperación del río Cauca, ejecutadas</t>
  </si>
  <si>
    <t>Realizar 409 servicios de asistencias técnicas mediante jornadas de limpieza de cauce y riveras.</t>
  </si>
  <si>
    <t>Asistencias técnicas a  las autoridades ambientales competentes en las estrategias de gobernanza del agua realizadas</t>
  </si>
  <si>
    <t xml:space="preserve">Conforme a la planificación realizada, se proyectó la ejecución de actividades de limpieza en ríos y quebradas a partir de junio 2024. (Esta decisión se realizó conforme a conceptos técnicos en la definición de la temporada donde se deben ejecutar estas actividades). </t>
  </si>
  <si>
    <t>Ecoparque Pance incluido en la estructura ecológica distrital y adecuado ambiental y paisajísticamente.</t>
  </si>
  <si>
    <t xml:space="preserve">
implementación de acciones para potenciar la oferta de los servicios ambientales en el ecoparque corazón de pance de santiago de cali</t>
  </si>
  <si>
    <t>BP26005090</t>
  </si>
  <si>
    <t>BP2600509010101</t>
  </si>
  <si>
    <t>Aplicar procesos de restauración, mantenimiento y conservación que promuevan la recuperación ambiental y funcionalidad del Ecoparque río Pance (Parque Ambiental Corazón de Pance)</t>
  </si>
  <si>
    <t>Realizar restauración a 85 hectareas  ecológica activa como apoyo al proceso de regeneración natural del Parque Ambiental Corazón de Pance</t>
  </si>
  <si>
    <t xml:space="preserve">Se inició adquiriendo el servicio de vigilancia para el predio donde se desarrolla el proyecto del Ecoparque. Esto con el fin de proteger la zona de invasiones u otras acciones que involucren la seguridad de las obras que se desarrollan en el lugar. </t>
  </si>
  <si>
    <t>BP2600509010201</t>
  </si>
  <si>
    <t>Prestar servicios de educación informal a 5530 personas en el marco de la conservación de la biodiversidad y los servicios ecosistémicos</t>
  </si>
  <si>
    <t xml:space="preserve">Se inició proceso para estructurar cronograma de actividades educativas, socialización y apropiación del proyecto Ecoparque Pance.  </t>
  </si>
  <si>
    <t>BP2600509010301</t>
  </si>
  <si>
    <t>Realizar un (1) ajuste y actualización de los diseños correspondientes a la segunda etapa de obras del Parque Ambiental Corazón de Pance</t>
  </si>
  <si>
    <t>Infraestructura ecoturística construida</t>
  </si>
  <si>
    <t xml:space="preserve">Se revisó las actividades asociadas al producto (revisión de cadena de valor) con el propósito de programar proceso de ejecución del mismo.   </t>
  </si>
  <si>
    <t>Conectividad Ecológica y Recuperación de Coberturas Verdes</t>
  </si>
  <si>
    <t>Renovación del arbolado urbano en el marco del Plan de Silvicultura Urbana (PSU), en ejecución.</t>
  </si>
  <si>
    <t>Mejoramiento de la Gestión Integral de la Flora Urbana de Santiago de Cali.</t>
  </si>
  <si>
    <t>BP26002682</t>
  </si>
  <si>
    <t>BP2600268210301</t>
  </si>
  <si>
    <t>Intervenir 1024 individuos arbóreos.</t>
  </si>
  <si>
    <t>Árboles intervenidos.</t>
  </si>
  <si>
    <t>En el periodo enero – marzo de 2024 el DAGMA programó 45 emergencias arbóreas y tala de árboles en riesgo.</t>
  </si>
  <si>
    <t>BP2600268210202</t>
  </si>
  <si>
    <t>Realizar 2 documentos de lineamientos técnicos de caracterización y diagnóstico del arbolado urbano.</t>
  </si>
  <si>
    <t xml:space="preserve">Se realizaron mesas de trabajo con diferentes actores del arbolado urbano para el desarrollo de documentos técnicos:
1. Con EMCALI para la construcción del protocolo para el manejo de árboles energizados.
2. Con EMSIRVA y UAESP para el manejo de árboles atendidos por empresas prestadoras de aseo.
</t>
  </si>
  <si>
    <t>BP2600268210201</t>
  </si>
  <si>
    <t>Individuos arbóreos sembrados</t>
  </si>
  <si>
    <t xml:space="preserve">Plantar 860 árboles </t>
  </si>
  <si>
    <t xml:space="preserve">Árboles plantados. </t>
  </si>
  <si>
    <t>Este producto se financia mediante la tasa de compensación, hasta el momento (corte marzo 30 de 2024) el fondo no ha realizado recaudo, por lo tanto, no se ha ejecutado ninguna actividad.</t>
  </si>
  <si>
    <t>Vivero Distrital ampliado y conectado con red de viveros</t>
  </si>
  <si>
    <t>Fortalecimiento en la Producción y Conservación de Especies Vegetales a través de la Red de Viveros de Santiago de Cali</t>
  </si>
  <si>
    <t>BP26002599</t>
  </si>
  <si>
    <t>BP2600259910101</t>
  </si>
  <si>
    <t>Vivero Distrital ampliado y conectado con red
de viveros.</t>
  </si>
  <si>
    <t>Producir 53720 de plántulas en el Vivero Distrital.</t>
  </si>
  <si>
    <t>Plántulas en el Vivero Distrital producidas</t>
  </si>
  <si>
    <t>Al corte 31 de marzo de la presente vigencia (2024), se realizó la propagación técnica de 5.556 individuos vegetales durante el periodo .</t>
  </si>
  <si>
    <t>BP2600259910201</t>
  </si>
  <si>
    <t xml:space="preserve">Capacitar 5310 personas en siembras, mantenimiento y reconocimiento vegetal. </t>
  </si>
  <si>
    <t xml:space="preserve">Se realizaron acciones de educación ambiental enfocadas en la conservación de la biodiversidad vegetal en 33 jornadas operativas, desarrolladas en espacios verdes públicos y áreas de interés ambiental de Cali. Se impactaron 1650 personas con las jornadas operativas - educativas. </t>
  </si>
  <si>
    <t>Gobernanza, Gobernabilidad y Cultura Ambiental</t>
  </si>
  <si>
    <t xml:space="preserve">Sistema de Gestión Ambiental Comunitario – SIGAC y Consejo Municipal de Desarrollo Rural – CMDR, operando </t>
  </si>
  <si>
    <t>Fortalecimiento a Instancias de Participación Comunitaria para la Gestión Ambiental en Santiago de Cali.</t>
  </si>
  <si>
    <t>BP26002805</t>
  </si>
  <si>
    <t>BP2600280510101</t>
  </si>
  <si>
    <t>Instancias de participación comunitaria
SIGAC y CMDR fortalecidas.</t>
  </si>
  <si>
    <t>Implementar una (1)  estrategias educativo ambientales y de participación implementadas</t>
  </si>
  <si>
    <t>Estrategias educativo ambientales y de participación implementadas.</t>
  </si>
  <si>
    <t>Se realizó acercamiento con la junta directiva del Sistema de Gestión Ambiental Comunitario – SIGAC y se realizó la primera sesión ordinaria del 2024. Quedó como compromiso la inclusión de sus propuestas en el Plan de Desarrollo 2024 – 2027.</t>
  </si>
  <si>
    <t>BP2600280510201</t>
  </si>
  <si>
    <t>Implementar 2 estrategias educativo ambientales y de participación implementadas.l.</t>
  </si>
  <si>
    <t>El DAGMA se encuentra a la espera de realizar la instalación del Consejo Municipal de Desarrollo Rural – CMDR previsto para abril (2024). Se espera recibir los avales completos de los 15 corregimientos para dar cumplimiento con los requisitos establecidos para la conformación del CMDR.</t>
  </si>
  <si>
    <t xml:space="preserve">Plataforma para contrarrestar la tenencia, comercialización ilegal y el maltrato de fauna silvestre y el control de especies exóticas introducidas, implementada </t>
  </si>
  <si>
    <t>Desarrollo de una Plataforma para la Conservación y Control del Recurso de Fauna Silvestre y Exótica en Santiago de Cali</t>
  </si>
  <si>
    <t>BP26002586</t>
  </si>
  <si>
    <t>BP2600258610101</t>
  </si>
  <si>
    <t>Plataforma para contrarrestar la tenencia,
comercialización ilegal y el maltrato de fauna
silvestre y el control de especies exóticas
introducidas, implementada.</t>
  </si>
  <si>
    <t>Realizar 25 operativos de control y vigilancia al recurso de fauna silvestre.</t>
  </si>
  <si>
    <t>Operativos de control y vigilancia al recurso de fauna silvestre realizados.</t>
  </si>
  <si>
    <t xml:space="preserve">En el periodo enero – marzo de 2024 el DAGMA ejecutó 10 operativos de control y vigilancia al tráfico ilegal de especies. Se han adelantado operativos de control y vigilancia al tráfico ilegal de fauna silvestre, junto policía ambiental en el Terminal de Cali, Galería Sta. Helena, Galería La Alameda, Cali - Candelaria (Juanchito), km 7 vía al mar, logrando como resultado la Aprehensión Preventiva de 4 aves (3 Psittacara wagleri, 1 Amazona amazonica), 5 libras de raya, 3 kilogramos de toyo. Se inicia normalización de datos y migración de archivos físicas a la plataforma de fauna silvestre, mediante desarrollo de aplicativos móviles 2024 para el personal de IVC. (Limitantes: Congestión de solicitudes en el sistema ORFEO, política y cultura de apropiaciones de herramientas tecnológicas.). </t>
  </si>
  <si>
    <t>BP2600258610201</t>
  </si>
  <si>
    <t>Realizar un (1) Servicio de asistencia técnica para la protección de la fauna y flora silvestre</t>
  </si>
  <si>
    <t>Servicio de asistencia técnica para la protección de la fauna y flora silvestre</t>
  </si>
  <si>
    <t>En el periodo enero – marzo de 2024 el DAGMA ejecutó 167 acciones de protección a fauna silvestre y especies exóticas invasoras, incluyendo 47 visitas de control a himenópteros, 15 visitas de control a establecimientos de comercio, 21 visitas de control de caracol africano, 913 caracoles recolectados, 104 personas sensibilizadas, 5,5 kilogramos de caracoles entregados al Centro de Zoonosis. Limitantes: Falta de personal para atender el número de solicitudes que radicadas que demandan atención urgente, principalmente lo concerniente a himenópteros dado el peligro que representa para la comunidad donde se presenta interacciones negativas con esta especie.</t>
  </si>
  <si>
    <t xml:space="preserve">Infraestructuras para la atención, valoración y rehabilitación de la fauna silvestre y la flora, operando </t>
  </si>
  <si>
    <t>Fortalecimiento del Hogar de Paso para la Atención, Valoración y Rehabilitación de la Fauna Silvestre en Santiago de Cali</t>
  </si>
  <si>
    <t>BP26002587</t>
  </si>
  <si>
    <t>BP2600258710101</t>
  </si>
  <si>
    <t>Infraestructura para la atención, valoración y rehabilitación de la fauna silvestre y flora operando.</t>
  </si>
  <si>
    <t xml:space="preserve">Prestar un (1) servicio de protección a la Fauna Silvestre en el Hogar de Paso. </t>
  </si>
  <si>
    <t>Entidades asistidas</t>
  </si>
  <si>
    <t>Se prestó el servicio de protección a la Fauna Silvestre. En el periodo enero – marzo de 2024 se brindó atención, valoración, suministro alimentario y de medicamentos a 385 individuos de fauna silvestre albergados y cuidados en el hogar de paso. Individuos producto de rescates, entregas voluntarias, decomisos e incautaciones.</t>
  </si>
  <si>
    <t>Implementación de acciones para la operación del Centro de Atención y Valoración de Flora Silvestre en Santiago de Cali</t>
  </si>
  <si>
    <t>BP26004590</t>
  </si>
  <si>
    <t>BP2600459010201</t>
  </si>
  <si>
    <t>Realizar una (1) mejors de las condiciones del centro de atencion y valoración de la flora silvestre.</t>
  </si>
  <si>
    <t>Centro de Atención y Valoración de flora silvestre construido y dotado</t>
  </si>
  <si>
    <t>Se realizó verificación al encerramiento del Centro de Atención y Valoración de Flora Silvestre – CAVF, y se efectuaron comprobaciones a la instalación de cámaras de seguridad del mismo.</t>
  </si>
  <si>
    <t>Realizar 18 servicios de control y vigilancia al tráfico ilegal de especies</t>
  </si>
  <si>
    <t xml:space="preserve">Número de operativos de control y vigilancia </t>
  </si>
  <si>
    <t>En el periodo enero – marzo de 2024 el DAGMA programó 8 operativos de control al tráfico ilegal de flora silvestre y establecimientos de comercio.</t>
  </si>
  <si>
    <t>Colectivos ambientales de gestores de educación y cultura, con enfoque diferencial y de género co-creando procesos para la reconciliación ambiental y la conservación de la estructura ecológica, operando en redes</t>
  </si>
  <si>
    <t>Fortalecimiento de colectivos ambientales en prácticas ambientales, educativas y culturales en Santiago de Cali.</t>
  </si>
  <si>
    <t>BP26002806</t>
  </si>
  <si>
    <t>BP2600280610201</t>
  </si>
  <si>
    <t>Colectivos fortalecidos.</t>
  </si>
  <si>
    <t>Suscribir 2 alianzas territoriales para la gestión ambienta</t>
  </si>
  <si>
    <t>Alianzas para el desarrollo de la política nacional ambiental y la participación en la gestión ambiental  suscritas.</t>
  </si>
  <si>
    <t>Se efectuó acercamientos con colectivos ciudadanos e instituciones para evaluar posibles alianzas para el desarrollo e implementación de la Política Nacional Ambiental y Participación en la Gestión Ambiental.</t>
  </si>
  <si>
    <t>BP2600280610301</t>
  </si>
  <si>
    <t>Desarrollar una (1) estrategia educativo ambientales y de participación implementadas</t>
  </si>
  <si>
    <t>Número de estrategias</t>
  </si>
  <si>
    <t xml:space="preserve">Se efectuó acercamientos con colectivos ciudadanos e instituciones para evaluar posibles alianzas para el desarrollo e implementación de la Política Nacional Ambiental y Participación en la Gestión Ambiental. (Tema clave identificado: eventos con Ecobarrios). </t>
  </si>
  <si>
    <t>Ruralidad Sustentable</t>
  </si>
  <si>
    <t>Centros Integrados de la Ruralidad, operando</t>
  </si>
  <si>
    <t>Implementación de Acciones de Gobernanza y Control Ambiental en la Cuencas Hidrográficas de Santiago de Cali.</t>
  </si>
  <si>
    <t>BP26002595</t>
  </si>
  <si>
    <t>BP2600259510101</t>
  </si>
  <si>
    <t>Centros Integrados de la Ruralidad, operando.</t>
  </si>
  <si>
    <t>Fortalecer una (1) infraestructura, la administración, la vigilancia y el control de las áreas protegidas.</t>
  </si>
  <si>
    <t>Infraestructura construida para la administración, la vigilancia y el control de las áreas protegidas.</t>
  </si>
  <si>
    <t>No se ha adelantó el proceso de diseño del CIR, debido a que no se cuenta con predio para el proceso constructivo. No se ha adelantado el proceso para el mantenimiento de los CIR El Arbolito y Quebrada Honda</t>
  </si>
  <si>
    <t>BP2600259510201</t>
  </si>
  <si>
    <t>Prestar en 10000 ha el servicio de prevención, vigilancia y control de las áreas protegidas.</t>
  </si>
  <si>
    <t>Áreas cubiertas con jornadas de vigilancia.</t>
  </si>
  <si>
    <t>Se comienza con proceso de contratación para el desarrollo de actividades de control, vigilancia y Gobernanza en los CIR.</t>
  </si>
  <si>
    <t>Mitigación del Cambio Climático</t>
  </si>
  <si>
    <t>Gestión Integral de Residuos Sólidos</t>
  </si>
  <si>
    <t>Generadores de Residuos de Construcción y Demolición-RCD y Residuos Ordinarios, vinculados a un proceso de manejo eficiente y mejores prácticas en su gestión</t>
  </si>
  <si>
    <t>Fortalecimiento de la Gestión Integral de los Residuos Sólidos en Santiago de Cali.</t>
  </si>
  <si>
    <t>BP26002588</t>
  </si>
  <si>
    <t>BP2600258810101</t>
  </si>
  <si>
    <t>Generadores de Residuos de Construcción y
Demolición-RCD y Residuos Ordinarios,
vinculados a un proceso de manejo eficiente
y mejores prácticas en su gestión.</t>
  </si>
  <si>
    <t>Efectuar 1053 asistencias de  inspección, vigilancia y control a la gestión integral de residuos solidos.</t>
  </si>
  <si>
    <t>Instrumentos técnicos generados.</t>
  </si>
  <si>
    <t>De enero a marzo de 2024, el DAGMA, realizó 82 asistencias para la inspección, vigilancia y control de residuos sólidos en la zona urbana. En este sentido se efectuaron visitas a generadores de residuos sólidos como: establecimientos de comercio, generadores de RCD, desarrollos multifamiliares, bodegas de reciclaje, sector residencial, generadores de RESPEL, entre otros.</t>
  </si>
  <si>
    <t>Producción y Consumo Responsable</t>
  </si>
  <si>
    <t>Empresas con cambios hacia patrones de producción y consumo sostenible</t>
  </si>
  <si>
    <t>BP26002592</t>
  </si>
  <si>
    <t>BP2600259210101</t>
  </si>
  <si>
    <t xml:space="preserve">Elaborar 11 Documentos normativos para el fortalecimiento del desempeño ambiental de los sectores productivos). </t>
  </si>
  <si>
    <t>Documentos normativos en el marco de la incorporación de variables ambientales en la planificación sectorial expedidos</t>
  </si>
  <si>
    <t>Durante el trimestre se ha avanzado en seguimiento de empresas con patrones de producción y consumo sostenible. Se han realizado 15 capacitaciones como actualización en normatividad y se articuló con EMCALI para una capacitación sobre uso racional y eficiente de la energía.</t>
  </si>
  <si>
    <t>BP2600259210201</t>
  </si>
  <si>
    <t>Realizar 4 documentos técnicos para la evaluación ambiental estratégica (evaluación, selección de empresas para el programa).</t>
  </si>
  <si>
    <t>Documentos de estudios técnicos para el fortalecimiento del desempeño ambiental de los sectores productivos</t>
  </si>
  <si>
    <t xml:space="preserve">Se inició proceso para definir metodología y cronograma para efectuar las evaluaciones a las empresas que están vinculadas y que se vincularan al programa.  </t>
  </si>
  <si>
    <t>Negocios verdes registrados, evaluados y promovidos</t>
  </si>
  <si>
    <t>Fortalecimiento de la Ventanilla de Negocios Verdes de Santiago de Cali</t>
  </si>
  <si>
    <t>BP26002591</t>
  </si>
  <si>
    <t>BP2600259110201</t>
  </si>
  <si>
    <t>Prestar 12 servicios de asistencia técnica para la incorporación de varibales ambientales en la planificación sectorial</t>
  </si>
  <si>
    <t>Entidades y sectores asistidos técnicamente para la incorporación de varibales ambientales en la planificación sectorial.</t>
  </si>
  <si>
    <t>Se prestó asesoría técnica correspondiente a la validación de los Negocios Verdes. Para ello se han tenido 3 reuniones virtuales con el MinAmbiente, y se ha realizado seguimiento telefónico y visitas de verificación a varios negocios ya inscritos.</t>
  </si>
  <si>
    <t>BP2600259110101</t>
  </si>
  <si>
    <t>Negocios verdes registrados, evaluados y promovidos.</t>
  </si>
  <si>
    <t>Prestar un (1) servicio de asistencia técnica para la consolidación de negocios verdes</t>
  </si>
  <si>
    <t>Negocios verdes consolidados</t>
  </si>
  <si>
    <t xml:space="preserve">Obras de desarrollo urbanístico y habitabilidad, aplicando buenas prácticas ambientales y de construcción sostenible. </t>
  </si>
  <si>
    <t>Contribución al Mejoramiento de la Calidad Ambiental Urbana a Través de Estrategias que Promuevan las Buenas Prácticas Ambientales en Obras de Desarrollo Urbanístico en Santiago de Cali.</t>
  </si>
  <si>
    <t>BP26002589</t>
  </si>
  <si>
    <t>BP2600258910101</t>
  </si>
  <si>
    <t>Obras de desarrollo urbanístico y
habitabilidad, aplicando buenas prácticas
ambientales y de construcción sostenible.</t>
  </si>
  <si>
    <t xml:space="preserve">Elaborar 292 documentos de lineamientos técnicos para  promover buenas prácticas ambientales sector constructivo. </t>
  </si>
  <si>
    <t>Documentos de lineamientos técnicos para  promover la gestión sostenible del suelo elaborados</t>
  </si>
  <si>
    <t>Al 31 de marzo de la presente vigencia (2024) se expidieron:
 - 3 respuestas a Conceptos Ambientales de Obra (Instrumento control ambiental a proyectos).
 - 2 conceptos ambientales/EIR.
 - 15 documentos de determinantes ambientales.
 - 15 documentos de visita técnica con información de lo observado, lineamientos y compromisos para el desarrollador. 
TOTAL: 35 documentos técnicos.  
El avance obtenido está restringido por el proceso de contratación y las dinámicas del sector de la construcción.</t>
  </si>
  <si>
    <t>Establecimientos con usos de alto impacto ambiental de controlados con medidas de mitigación ambiental</t>
  </si>
  <si>
    <t>Aplicación de Esquemas de Implantación y Regularización – EIR al Sector Empresarial con Alto Impacto Ambiental en Santiago de Cali.</t>
  </si>
  <si>
    <t>BP26002590</t>
  </si>
  <si>
    <t>BP2600259010101</t>
  </si>
  <si>
    <t>Elaborar 17 documentos relacionados con procesos de IVC necesarios para definir el estado de cumplimiento ambiental de las solicitudes de adopción y/o actividades sujetas a EIR.</t>
  </si>
  <si>
    <t>Documentos de estudios técnicos para el conocimiento y reducción del riesgo de desastres elaborados.</t>
  </si>
  <si>
    <t>Se realizó la atención administrativa de dieciséis (16) solicitudes mediante verificación de documentación y realización de visita técnica ambiental. Se verificó el impacto generado por los establecimientos mediante el cumplimiento de los requisitos.</t>
  </si>
  <si>
    <t>BP2600259010201</t>
  </si>
  <si>
    <t>Establecimientos con usos de alto impacto ambiental de controlados con medidas de mitigación ambiental.</t>
  </si>
  <si>
    <t>Elaborar 21 documentos (conceptos) técnicos ambientales de los estudios reportados  en el marco de la implementación de EIR.</t>
  </si>
  <si>
    <t>Se avanzó en la proyección de los conceptos técnicos ambientales de las visitas realizadas (16 visitas ejecutadas).</t>
  </si>
  <si>
    <t>Reducción de la Huella Ecológica de Santiago de Cali</t>
  </si>
  <si>
    <t>Medidas de acción a corto plazo del Plan integral de gestión del Cambio Climático de Santiago de Cali, ejecutadas</t>
  </si>
  <si>
    <t>Mejoramiento de la Gestión, Planificación y Acciones de Mitigación al Cambio Climático en Santiago de Cali.</t>
  </si>
  <si>
    <t>BP26002629</t>
  </si>
  <si>
    <t>BP2600262910201</t>
  </si>
  <si>
    <t>Medidas de acción a corto plazo del Plan integral de gestión del Cambio Climático de Santiago de Cali, ejecutadas.</t>
  </si>
  <si>
    <t>Desarrollar una (1) acción de mitigación y adaptación al cambio climático.</t>
  </si>
  <si>
    <t>Acciones de mitigación y adaptación al cambio climático desarrollados.</t>
  </si>
  <si>
    <t xml:space="preserve">Se realizaron actividades de aprestamiento como: proceso de empalme con la nueva administración DAGMA, se elaboró un plan de trabajo y actualización de la metodología para fase de campo, con presupuesto. Por otra parte, se entregó propuesta para la inclusión de la Política Pública para la Gestión Integrada de los Recurso Hídrico – PPGIRH. (El PPGIRH es un producto de este proyecto para la mitigación del cambio climático). </t>
  </si>
  <si>
    <t xml:space="preserve">Gestión de la calidad del aire y disminución y control del impacto sonoro </t>
  </si>
  <si>
    <t xml:space="preserve">Acciones del Programa de Aire Limpio implementadas </t>
  </si>
  <si>
    <t>Mejoramiento de las Acciones de Vigilancia, Planificación y Gestión de la Calidad del Aire en Santiago de Cali.</t>
  </si>
  <si>
    <t>BP26002683</t>
  </si>
  <si>
    <t>BP2600268310101</t>
  </si>
  <si>
    <t xml:space="preserve">Acciones del Programa de Aire Limpio implementadas. </t>
  </si>
  <si>
    <t>Fortalecer 13 estaciones para el monitoreo de la calidad del aire.</t>
  </si>
  <si>
    <t>Estaciones para el monitoreo de la calidad del aire.</t>
  </si>
  <si>
    <t>El Sistema de Vigilancia de Calidad del Aire de Santiago de Cali – SVCASC tiene 13 estaciones, 9 estaciones de calidad del aire (C/A) y 4 de ruido. A la fecha (marzo 30 de 2024) NO se recibieron datos de 2 estaciones de C/A (Flora y Ermita) y 7 (Univalle, Transitoria, Cañaveralejo, Obrero, Base Aérea, Pance y Compartir) se generaron datos indicativos, lo anterior se debe a que ningún equipo contó con calibración de rutina. Los equipos de medición de ruido ambiental y complementarios, fueron desmontados para su calibración en el mes de noviembre de 2023 y aún no han sido instalados.</t>
  </si>
  <si>
    <t>BP2600268310201</t>
  </si>
  <si>
    <t>Realizar un  (1) Documento de lineamientos técnicos para para mejorar la calidad ambiental de las áreas urbanas elaborados</t>
  </si>
  <si>
    <t>Documentos de lineamientos técnicos para para mejorar la calidad ambiental de las áreas urbanas elaborados</t>
  </si>
  <si>
    <t>Se estableció que la elaboración del documento de lineamientos técnicos para mejorar la calidad ambiental de las áreas urbanas será un producto de las consultoría alrededor de la disminución de las toneladas de dióxido de carbono en las fuentes móviles y fijas.</t>
  </si>
  <si>
    <t xml:space="preserve">Plan de Mejora del Ambiente Sonoro, actualizado, adoptado y ejecutado </t>
  </si>
  <si>
    <t>Implementación del Plan de Mejora del Ambiente Sonoro en Santiago de Cali.</t>
  </si>
  <si>
    <t>BP26002655</t>
  </si>
  <si>
    <t>BP2600265510101</t>
  </si>
  <si>
    <t>Plan de Mejoramiento de Ambiente Sonoro
actualizado, adoptado y ejecutado.</t>
  </si>
  <si>
    <t>Elaborar un (1) documento de seguimiento al Plan de Mejoramiento de Ambiente Sonoro.</t>
  </si>
  <si>
    <t>Documentos de política para mejorar la calidad ambiental de las áreas urbanas elaborados.</t>
  </si>
  <si>
    <t>Se realizó el seguimiento al Plan de Mejoramiento del Ambiente Sonoro de Santiago de Cali – PMAS. Avance del documento: 35%. Por otra parte, se realiza el proceso para la actualización de los mapas estratégicos de ruido y del documento Plan de Mejora del Ambiente Sonoro de Santiago de Cali.</t>
  </si>
  <si>
    <t>BP2600265510201</t>
  </si>
  <si>
    <t>Realizar 400 asistencias de inspección, vigilancia y control a fuentes fijas generadores de ruido.</t>
  </si>
  <si>
    <t>Documentos de instrumentos técnicos de evaluación y seguimiento ambiental realizados.</t>
  </si>
  <si>
    <t>De enero a marzo de 2024 se realizaron 149 visitas y operativos a zonas de especial atención y a establecimientos de comercio y/o de servicios con el fin de prevenir o mitigar impactos por ruido. Se realizaron monitoreos de emisión de ruido en diferentes puntos de la ciudad, imponiendo las respectivas medicas preventivas a las que hubo lugar.</t>
  </si>
  <si>
    <t xml:space="preserve">Gestión del Riesgo </t>
  </si>
  <si>
    <t xml:space="preserve">Conocimiento del Riesgo  </t>
  </si>
  <si>
    <t xml:space="preserve">Redes para la vigilancia e identificación de amenazas socio naturales generadoras de riesgo, fortalecidas y en funcionamiento </t>
  </si>
  <si>
    <t>Fortalecimiento de Redes para la Vigilancia e Identificación de Amenazas Naturales Generadoras de Riesgo en Santiago de Cali.</t>
  </si>
  <si>
    <t>BP26002735</t>
  </si>
  <si>
    <t>BP2600273510101</t>
  </si>
  <si>
    <t>Redes para la vigilancia e identificación de
amenazas socio naturales generadoras de
riesgo, fortalecidas y en funcionamiento.</t>
  </si>
  <si>
    <t xml:space="preserve">Realizar 6 documentos de lineamientos técnicos de riesgo sísmico. </t>
  </si>
  <si>
    <t xml:space="preserve">Al corte 31 de marzo de la presente vigencia (2024) se realizaron actividades de definición metodológica: 
 - Se estableció la Estrategia de Territorios Resilientes, reactivando los sistemas comunitarios de alertas consolidados en la Comuna 20 y el Corregimiento de Los Antes. 
 - Se identificaron las determinantes en el componente de riesgo en proyectos urbanísticos. 
Lo anterior, son recursos (o insumos) para definir los documentos a elaborarse. 
</t>
  </si>
  <si>
    <t>Procesos institucionales de la autoridad ambiental, conforme a los requerimientos de las políticas institucionales y administrativas vigentes mejorados</t>
  </si>
  <si>
    <t>Implementación del Sistema de Planeación y Gestión de la Autoridad Ambiental de Santiago de Cali.</t>
  </si>
  <si>
    <t>BP26002684</t>
  </si>
  <si>
    <t>BP2600268410101</t>
  </si>
  <si>
    <t>Procesos de la Autoridad Ambiental, para el
desarrollo de la gestión y el desempeño
institucional mejorados.</t>
  </si>
  <si>
    <t>Elaborar UN (1 ) Sistema de gestión implementado</t>
  </si>
  <si>
    <t>Sistema de gestión implementado.</t>
  </si>
  <si>
    <t xml:space="preserve">Al corte marzo 31 se inició el proceso de levantamiento de la información, se requiere establecer los grupos misionales se deben elaborar procedimientos de las actividades que desarrollan. Avance del proceso: 10% según cronograma establecido para la presente vigencia (2024). </t>
  </si>
  <si>
    <t>DAGMA
(Unidad de Apoyo a la Gestión)</t>
  </si>
  <si>
    <t>Observatorio Ambiental, como un instrumento de reporte, seguimiento y generación de conocimiento para la gestión ambiental, actualizado y operando</t>
  </si>
  <si>
    <t>Fortalecimiento de la Operación del Observatorio Ambiental en Santiago de Cali.</t>
  </si>
  <si>
    <t>BP26002946</t>
  </si>
  <si>
    <t>BP2600294610101</t>
  </si>
  <si>
    <t>Observatorio Ambiental, como un instrumento de reporte, seguimiento y generación de conocimiento para la gestión ambiental, actualizado y operando.</t>
  </si>
  <si>
    <t>Realizar un (1) Documento de diagnóstico para la gestión de la información y el conocimiento ambiental</t>
  </si>
  <si>
    <t>Documentos diagnóstico realizados</t>
  </si>
  <si>
    <t>Se avanzó en la solicitud de información a los grupos misionales del DAGMA y a otras instituciones de interés para actualizar los indicadores ambientales, que son los insumos para la generación del Documento Anual del Estado de los Recursos Naturales de Cali. Avance del documento: 13% (según cronograma de trabajo).</t>
  </si>
  <si>
    <t>Desarrollo del Observatorio Ambiental de la Comuna 22 de Santiago de Cali.</t>
  </si>
  <si>
    <t>BP26003335</t>
  </si>
  <si>
    <t>BP2600333510101</t>
  </si>
  <si>
    <t>Observatorio Ambiental, como un instrumento de reporte, seguimiento y generación de conocimiento</t>
  </si>
  <si>
    <t>Divulgar dos (2) documento para la Planificación sectorial y la gestión ambiental</t>
  </si>
  <si>
    <t>Documentos divulgados</t>
  </si>
  <si>
    <t>El Comité de Planificación de la Comuna 22 de Cali debe reunirse para aprobar la inversión de estos recursos en el componente temático del OAC22 que elijan en consenso. El retraso en la realización de la reunión afecta el inicio de la ejecución de estas actividades.</t>
  </si>
  <si>
    <t>BP2600333510201</t>
  </si>
  <si>
    <t>Implementar un (1) servicio de información para la gestión del conocimiento ambiental.
(Observatorio de Monitoreo Ambiental de la Comuna 22).</t>
  </si>
  <si>
    <t>Equipamientos inteligentes operando</t>
  </si>
  <si>
    <t>Implementación de equipamientos inteligentes en Santiago de  Cali</t>
  </si>
  <si>
    <t>BP-26002551</t>
  </si>
  <si>
    <t>BP2600255110101</t>
  </si>
  <si>
    <t>Brindar servicios de apoyo para la Gestión del Conocimiento en Cultura y Apropiación Social de la Ciencia, la Tecnología y la Innovación (Brindar servicios de apoyo en la operación de los 18 equipamientos inteligentes en espacios públicos)</t>
  </si>
  <si>
    <t>Estrategias de gestión del conocimiento en cultura y apropiación social de ciencia tecnología e innovación realizados (equipamientos inteligentes operando)</t>
  </si>
  <si>
    <t>Se realizó cronograma de actividades y se brindó apoyo técnico a través de la socialización a la comunidad de 3 equipamientos urbanos inteligenes instalados en el parque Bulevar de Oriente con el propósito de brindar servicios de apoyo para la Gestión del Conocimiento en Cultura y Apropiación Social de la Ciencia e innovación.</t>
  </si>
  <si>
    <t>Departamento Administrativo de Tecnologías de la Información y las Comunicaciones - Subdirección de Innovación Digital</t>
  </si>
  <si>
    <t xml:space="preserve">Zonas públicas con acceso gratuito a internet para el servicio al ciudadano </t>
  </si>
  <si>
    <t>Ampliación de la cantidad de zonas públicas con acceso gratuito a internet con servicio al ciudadano en Santiago de Cali</t>
  </si>
  <si>
    <t>BP-26002959</t>
  </si>
  <si>
    <t>Departamento Administrativo de Tecnologías de la Información y las Comunicaciones - Subdirección de Tecnología Digital</t>
  </si>
  <si>
    <t>BP2600295910101</t>
  </si>
  <si>
    <t>Zonas públicas con acceso gratuito a internet para el servicio al ciudadano habilitadas</t>
  </si>
  <si>
    <t>Brindar servicio de acceso a 57 zonas digitales (operar las 57 zonas wi fi existentes)</t>
  </si>
  <si>
    <t>Zonas digitales instaladas (zonas públicas con acceso a Internet habilitadas)</t>
  </si>
  <si>
    <t>Se realizaron visitas y revisión del estado actual de las Zonas WiFi, en los cuales se encontró que 55 de 63 Zonas WiFi urbanas y rurales se encuentran en opearción, las demas no operan por daño en la fibra optica. Se desarrollaron actividades de Planeación para definir nueva topología y posible habilitación de nuevas zonas en la ciudad.</t>
  </si>
  <si>
    <t xml:space="preserve">Personas con formación, sensibilización y/o utilización de servicios en el uso y apropiación de tecnologías de la información y la comunicación TIC </t>
  </si>
  <si>
    <t>Formación y utilización de servicios en el uso y apropiación de tecnologías de la información y las comunicaciones TIC de Santiago de Cali</t>
  </si>
  <si>
    <t>BP-26002621</t>
  </si>
  <si>
    <t>BP2600262110101</t>
  </si>
  <si>
    <t xml:space="preserve">Número de personas que participan de los procesos de formación, sensibilización y/o utilización de servicios en el uso y apropiación de tecnologías de la información y la comunicación TIC </t>
  </si>
  <si>
    <t>Brindar servicio de educación informal a 3000 personas para aumentar la calidad y cantidad de talento humano para la industria TI (Capacitar 3000 personas en programas informales de tecnologías de la información)</t>
  </si>
  <si>
    <t>Personas capacitadas en programas informales de Tecnologías de la Información</t>
  </si>
  <si>
    <t>Se realizó el cronograma de ciclos de formación para la vigencia 2024, se dió inducción a los gestores TIC sobre la Prestación del servicio de capacitación y formación para el Ecosistema de Innovación Digital, se delegaron a los gestores para la actualización del material de apoyo de las formaciones. Se inició la divulgacion y la promoción de las formaciones del primer ciclo, se dió inicio a la primera formación cerrada programa rumbo joven de la alianza con la fundacion Alvaralice joven en el LID Tecnocentro.</t>
  </si>
  <si>
    <t>Puntos de apropiación digital y laboratorios de innovación digital operando</t>
  </si>
  <si>
    <t>Administración de Puntos de Apropiación Digital (PAD) y Laboratorios de Innovación Digital (LID) de Santiago de Cali</t>
  </si>
  <si>
    <t>BP-26002619</t>
  </si>
  <si>
    <t>BP2600261910101</t>
  </si>
  <si>
    <t>Fortalecer y dotar 32 centros de ciencia ( acondicionar y fortalecer 32 PAD / LID)</t>
  </si>
  <si>
    <t>Centros de Ciencia Fortalecidos y dotados (PAD / LID fortalecidos y dotados)</t>
  </si>
  <si>
    <t>No ha iniciado ejecución.</t>
  </si>
  <si>
    <t>BP2600261910201</t>
  </si>
  <si>
    <t>Implementar 1 estrategia de comunicación con enfoque en ciencia, tecnología y sociedad (operar 32 LID/PAD)</t>
  </si>
  <si>
    <t>Estrategias de comunicación implementadas con enfoque en ciencia, tecnología y sociedad implementadas (PAD y LID operando)</t>
  </si>
  <si>
    <t xml:space="preserve">Se avanzó en la ejecución de los procedimientos "planificación de la oferta de servicios" y "prestación de servicios presencial en los LID y PAD". En 14 LID y 1 PAD aperturados. </t>
  </si>
  <si>
    <t>Prototipos de innovación digital con respuesta a necesidades de ciudad desarrollados</t>
  </si>
  <si>
    <t>Implementación de prototipos de innovación digital que atienden necesidades de Santiago de Cali</t>
  </si>
  <si>
    <t>BP-26002603</t>
  </si>
  <si>
    <t>BP2600260310101</t>
  </si>
  <si>
    <t>Realizar 2 estrategias de gestión del conocimiento en cultura y apropiación social de ciencia tecnología e innovación (diseñar e implementar 2 prototipos de innovación digital)</t>
  </si>
  <si>
    <t>Estrategias de gestión del conocimiento en cultura y apropiación social de ciencia tecnología e innovación realizados (prototipos de innovación digital desarrollados)</t>
  </si>
  <si>
    <t>Se realizó cronograma de planeacion del diseño y desarrollo de estrategias que promuevan el seguimiento de prototipos, además se adelantaron actividades de planeación para desarrollar jornadas de sensibilización a los 29 Organismos de la Alcaldía de Cali, fomentando el diseño e implementación de prototipos de ciudad que respondan  a problemáticas de la comunidad de acuerdo a las necesidades de la Entidad para la Gestión de la Innovación Digital</t>
  </si>
  <si>
    <t>Conexiones físicas de Instituciones Distritales pertenecientes a REMI con mantenimiento</t>
  </si>
  <si>
    <t>Fortalecimiento de la red Distrital REMI en el Municipio de Santiago de  Cali</t>
  </si>
  <si>
    <t>BP-26002970</t>
  </si>
  <si>
    <t>BP2600297010101</t>
  </si>
  <si>
    <t>Garantizar Servicio de conexiones a redes de acceso (Realizar el mantenimiento preventivo y correctivo a 1951 puntos de acceso de la Red REMI)</t>
  </si>
  <si>
    <t>Conexiones a internet fijo y / o móvil ( Conexiones de la Red REMI con mantenimiento preventivo y correctivo)</t>
  </si>
  <si>
    <t>Actualmente se tiene en operación 1595 conexiones a REMI,  356 se encuentran fuera de servicio debido a factores como vandalismo, árboles caídos, daños de la infraestructura y/o daños ocasionados por trabajos de terceros. Se realizó durante este período el soporte especializado correspondiente a las conexiones logicas de la REMI</t>
  </si>
  <si>
    <t>Estrategias de uso y apropiación de TIC implementadas</t>
  </si>
  <si>
    <t>Implementación de estrategias de Uso y Apropiación TIC para la Alcaldía de Santiago de Cali</t>
  </si>
  <si>
    <t>BP-26002624</t>
  </si>
  <si>
    <t>BP2600262410101</t>
  </si>
  <si>
    <t>Entregar 2 Documentos metodológicos Desarrollar 2 estrategias de uso y apropiación de TIC)</t>
  </si>
  <si>
    <t>Documentos metodológicos realizados (Estrategias de uso y apropiación de TIC implementadas)</t>
  </si>
  <si>
    <t>Se inició el desarrollo de la estrategia de uso y apropiación del aplicativo de publicación de boletines oficiales (Secretaría de Gobierno) en las etapas de planeación y diseño, esto incluyó el diseño de los planes de comunicación y sensibilización y el desarrollo del documento metodologido de la estrategia que describe las acciones realizadas.</t>
  </si>
  <si>
    <t>Modelo Integrado de Planeación y Gestión implementado en DATIC</t>
  </si>
  <si>
    <t>Consolidación del Modelo Integrado de Planeación y Gestión –MIPG- en el Departamento Administrativo de las Tecnologías de la Información y las Comunicaciones -DATIC - de Santiago de  Cali</t>
  </si>
  <si>
    <t>BP-26002557</t>
  </si>
  <si>
    <t>Departamento Administrativo de Tecnologías de la Información y las Comunicaciones - Unidad de Apoyo</t>
  </si>
  <si>
    <t>BP2600255710101</t>
  </si>
  <si>
    <t>implementar el 100% del Sistema de Gestión</t>
  </si>
  <si>
    <t>Sistema de Gestión Implementado</t>
  </si>
  <si>
    <t>Se alcanzó el 100% en la implementación de MIPG: En el periodo, se ajustaron Planes Anuales de Contratación, revisaron presupuestos, y se enfocó en la contratación y desarrollo organizacional, incluyendo 37 prestadores de servicios y apertura del Fondo Efectivo de Caja Menor. Se atendieron recomendaciones de auditoría en gestión financiera y tecnológica, mejorando la gestión documental y de bienes. Se realizaron divulgaciones atraves de los canales de comunicacion sobre las actividades realizadas en Datic  a la ciudadania. También se gestionaron solicitudes ciudadanas, oficios, permisos y trámites, respondiendo a órganos de control y Contraloría</t>
  </si>
  <si>
    <t>Conjunto de datos con Modelo de Big Data implementado</t>
  </si>
  <si>
    <t xml:space="preserve"> Implementación de un Modelo de Big Data en la Alcaldía de Santiago  Cali</t>
  </si>
  <si>
    <t>BP 26002638</t>
  </si>
  <si>
    <t>BP2600263810101</t>
  </si>
  <si>
    <t>Realizar 1 documento metodológico (diseñar, configurar e implementar 1 solución de arquitectura de lago de datos)</t>
  </si>
  <si>
    <t xml:space="preserve"> Documentos metodológicos realizados (arquitectura de lago de datos diseñada, configurada e implementada)</t>
  </si>
  <si>
    <t>Se definieron especificaciones técnicas y se culminó el proceso para la adquisición del servicio de almacenamiento de información en la nube.</t>
  </si>
  <si>
    <t>BP2600263810201</t>
  </si>
  <si>
    <t>Realizar 1 documentos de lineamientos técnicos (Implementar 1 conjunto de datos con Big Data)</t>
  </si>
  <si>
    <t>Documentos de lineamientos técnicos realizados (Conjunto de datos implementado)</t>
  </si>
  <si>
    <t>Se iniciaron actividades de ajuste de las herramientas web: Portal Inteligencia Artificial Cali y Servicio de Geocodificador, correspondiente a los productos: Documentos Metodológicos y Documentos de Lineamientos Técnicos de los conjuntos de datos con modelo Big Data.</t>
  </si>
  <si>
    <t>Datacenter del Distrito Especial, unificado</t>
  </si>
  <si>
    <t>Consolidación del centro de datos de la Alcaldía de Santiago de  Cali</t>
  </si>
  <si>
    <t>BP-26002550</t>
  </si>
  <si>
    <t>BP2600255010101</t>
  </si>
  <si>
    <t>Alcanzar el 80% en el índice de capacidad de prestación de servicios de tecnología (Mantener un (1)  datacenter consolidado )</t>
  </si>
  <si>
    <t>Índice de capacidad en la prestación de servicios de tecnología (Datacenter consolidado)</t>
  </si>
  <si>
    <t>Se mantiene el Datacenter unificado, se realizó gestion de la infraestructura disponible en los distintos centros de procesamientos de datos, se finalizó proceso de adquisición del servicio de actualizacion de la plataforma de almacenamiento de datos SAN Pure Storage, del cual se tiene pendiente la configuración del servicio.</t>
  </si>
  <si>
    <t>Sistemas de Información de la entidad modernizados</t>
  </si>
  <si>
    <t xml:space="preserve">Actualización de los Sistemas de Información de la Administración Central del Municipio de Cali  </t>
  </si>
  <si>
    <t>BP-26002898</t>
  </si>
  <si>
    <t>BP2600289810101</t>
  </si>
  <si>
    <t>Implementar 1 Herramientas tecnológicas de Gobierno digital (Actualizar 3 Sistemas de Información)</t>
  </si>
  <si>
    <t>Herramientas tecnológicas de Gobierno digital  implementadas (Sistemas de Información Actualizados)</t>
  </si>
  <si>
    <t>Aún no se realizan las actualizaciones sobre los SI,Se actualizó la interfaz entre catastro (sigtweb) y SAP. Se realizaron actualizaciones de los modulos en SAP PSCD (predial) y HR (Recursos Humanos). Se realizó levantamiento de información del proceso de cobro coactivo y persuasivo de la subdirección de rentas y tesorería de Hacienda.</t>
  </si>
  <si>
    <t>Modelo del sistema de compra pública responsable</t>
  </si>
  <si>
    <t>Implementación de un modelo de compras públicas responsables en la Administración Central de Santiago de Cali</t>
  </si>
  <si>
    <t>BP26002942</t>
  </si>
  <si>
    <t>BP2600294210101</t>
  </si>
  <si>
    <t>Modelo del sistema de compra pública responsable implementado</t>
  </si>
  <si>
    <t xml:space="preserve">Generar (2) un espacio para divulgar a la ciudadania y proveedores herramientas que faciliten el acceso y la participación al sistema de compra pública de la Administración Central Distrital. </t>
  </si>
  <si>
    <t>Espacios para la integración de la oferta pública generados</t>
  </si>
  <si>
    <t>El proceso de contratación a través del cual se dará cumplimiento al indicador de producto se encuentra planeado para ser publicado en el mes de abril y su ejecución estará programada para el segundo semestre del 2024.</t>
  </si>
  <si>
    <t>BP2600294210201</t>
  </si>
  <si>
    <t>Actualizar (1) un sistema de información de compra pública.</t>
  </si>
  <si>
    <t>Este indicador de producto se encuentra en validación del equipo técnico para determinar si será armonizado con el nuevo plan de desarrollo, por lo tanto no tendrá ejecución hasta que no se defina su continuidad.</t>
  </si>
  <si>
    <t>BP2600294210301</t>
  </si>
  <si>
    <t xml:space="preserve">Elaborar (1) un documento con lineamiento técnico que permitan una actualización constante en la gestión contractual de la Administración Central Distrital. </t>
  </si>
  <si>
    <t>BP2600294210401</t>
  </si>
  <si>
    <t xml:space="preserve">Capacitar (300) personas mediante educación informal que permita la gestión del conocimiento en materia de contratación de los actores que intervienen en la compra pública. </t>
  </si>
  <si>
    <t>Avance Fisico</t>
  </si>
  <si>
    <t>Documentos técnicos de rediseño institucional acorde con la categoría Cali Distrito Especial, elaborados</t>
  </si>
  <si>
    <t>Asistencia técnica para el desarrollo de la categoría de distrito especial en la Alcaldía de Santiago de Cali</t>
  </si>
  <si>
    <t>BP26002701</t>
  </si>
  <si>
    <t>BP2600270110101</t>
  </si>
  <si>
    <t>Elaborar un estudio técnico de rediseño institucional en la Alcadía de Santiago de Cali</t>
  </si>
  <si>
    <t>Departamento administrativo de Desarrollo e Innovación Institucional - Subdirección de Gestión Organizacional</t>
  </si>
  <si>
    <t>BP2600270110201</t>
  </si>
  <si>
    <t>Elaborar un estudio técnico para la creación de la oficina de relacionamiento con el ciudadano en la Alcaldía de Santiago de Cali</t>
  </si>
  <si>
    <t>Se elaboró el cronograma de trabajo para la elaboración del estudio técnico en el cual se destinaron acciones para el desarrollo de una estructura organizacional para la creación de la oficina de Relacionamiento con el ciudadano. Se preparó la presentación de la Caja de Herramientas para la creación de la oficna. Se realizó una reunión con el Comité Articulador para la creación de la oficina de Relacionamiento con el ciudadano, con el fin de socializar la Caja de Herramientas dispuesta por el Departamento Adminitrativo de la Función Pública; en esta se orientó acerca de las posibles estructuras organizacionales para la creación de la dependencia.</t>
  </si>
  <si>
    <t xml:space="preserve">Instrumentos de gestión y control actualizados </t>
  </si>
  <si>
    <t>Actualización de instrumentos de gestión y control en la alcaldía de Santiago de Cali</t>
  </si>
  <si>
    <t>BP26002709</t>
  </si>
  <si>
    <t>BP2600270910101</t>
  </si>
  <si>
    <t>Instrumentos de gestión y control actualizados</t>
  </si>
  <si>
    <t>Actualizar (4) documentos de evaluación de la gestión y control institucional en la Alcaldía de Santiago de Cali</t>
  </si>
  <si>
    <t>Documentos de evaluación elaborados</t>
  </si>
  <si>
    <t>BP2600270910201</t>
  </si>
  <si>
    <t>Asistir técnicamente a (26) organismos para la apropiación de métodos y herramientas de seguimiento, control y medición en la Alcaldía de Santiago de Cali</t>
  </si>
  <si>
    <t>Se ha avanzado sobre la planificación del mantenimiento de los instrumentos de gestión y control que se manejan a través de módulos sistema de información Daruma y atención de solicitudes relacionadas con los modulos de riesgos, indicadores,  planes, documentos. esto con el fin de poder atender las solicitudes de asistencia técnica</t>
  </si>
  <si>
    <t xml:space="preserve">Servidores públicos, capacitados según plan de formación </t>
  </si>
  <si>
    <t xml:space="preserve">Desarrollo de las capacidades y competencias de los servidores públicos de la Alcaldía de Santiago de Cali </t>
  </si>
  <si>
    <t>BP26002706</t>
  </si>
  <si>
    <t>BP2600270610101</t>
  </si>
  <si>
    <t>Servidores públicos, capacitados según plan de formación</t>
  </si>
  <si>
    <t>Capacitar según plan de formación a 500 servidores públicos del Distrito de Santiago de Cali.</t>
  </si>
  <si>
    <t>Departamento administrativo de Desarrollo e Innovación Institucional - Subdirección de Gestión Estratégica del Talento Humano</t>
  </si>
  <si>
    <t xml:space="preserve">Clima y la cultura organizacional, intervenido y medido, </t>
  </si>
  <si>
    <t>Fortalecimiento del clima y la cultura organizacional de los servidores públicos en la Alcaldía de Santiago de Cali</t>
  </si>
  <si>
    <t>BP26002707</t>
  </si>
  <si>
    <t>BP2600270710201</t>
  </si>
  <si>
    <t>Clima y la cultura organizacional, intervenido y medido</t>
  </si>
  <si>
    <t>Realizar una (1) intervención del clima y la cultura organizacional del Distrito Especial de Santiago de Cali</t>
  </si>
  <si>
    <t>Documentos metodológicos</t>
  </si>
  <si>
    <t xml:space="preserve">Fases del sistema de información, para la Gestión del Conocimiento en los 39 Procesos de la entidad, implementadas </t>
  </si>
  <si>
    <t>Implementación de un sistema para la gestión del conocimiento e innovación en la Alcaldía de Santiago de Calii</t>
  </si>
  <si>
    <t>BP26004801</t>
  </si>
  <si>
    <t>BP2600480110101</t>
  </si>
  <si>
    <t>Implementar la Metodología para la Gestión del Conocimiento en los procesos  de la Alcaldía de Santiago de Cali</t>
  </si>
  <si>
    <t>Servicio de asistencia técnica</t>
  </si>
  <si>
    <t>BP2600480110201</t>
  </si>
  <si>
    <t>Desarrollar un sistema de información Ppara la gestión del conocimiento en los procesos de la Alcaldía de Santiago de Cali</t>
  </si>
  <si>
    <t>Niveles de modelación de los procesos de la Entidad bajo Arquitectura Empresarial (AE) estandarizados</t>
  </si>
  <si>
    <t>Implementación de un modelo de diagramación de procesos en notación BPMN en la alcaldía de Santiago de Cali</t>
  </si>
  <si>
    <t>BP26002716</t>
  </si>
  <si>
    <t>BP2600271610201</t>
  </si>
  <si>
    <t>Asistir técnicamente a (4) procesos para la modelación en BPMN y estandarizados bajo AE.</t>
  </si>
  <si>
    <t>Se realizó revisión técnica a un (1) procedimiento de un (1) organismo en la revisión de procedimientos con transición a la diagramación en Notación BPM.  Se socializo marco de referencia de APQC , se inicio actualizacion de documento metodológico, se actualizaron diapositivas para inducción en la metodología BPMN y se inicio induccion en diagramacion en BPMN.</t>
  </si>
  <si>
    <t>Instrumentos de Arquitectura Empresarial de Planeación y Misionalidad de la Entidad, formulados</t>
  </si>
  <si>
    <t>Implementación de los instrumentos de arquitectura empresarial en los dominios de planeación y misional en la alcaldía de Santiago de Cali</t>
  </si>
  <si>
    <t>BP26002717</t>
  </si>
  <si>
    <t>BP2600271710101</t>
  </si>
  <si>
    <t>Avanzar en la elaboración del documento para la planeación estratégica en TI acorde con la Planeación de la Arquitectura Empresarial en la Alcaldía de Santiago de Cali</t>
  </si>
  <si>
    <t>Documentos para la planeación estratégica en TI</t>
  </si>
  <si>
    <t>BP2600271710201</t>
  </si>
  <si>
    <t>Avanzar en la elaboración de (1) documento metodológico acorde a la Arquitectura Misional en la Alcaldía de Santiago de Cali</t>
  </si>
  <si>
    <t>Modelo de Teletrabajo, diseñado</t>
  </si>
  <si>
    <t>Diseño de un modelo de teletrabajo en la Alcaldía de Cali</t>
  </si>
  <si>
    <t>BP26002738</t>
  </si>
  <si>
    <t>BP2600273810201</t>
  </si>
  <si>
    <t>Implementación del Modelo de Teletrabajo en la Alcaldía de Santiago de Cali.</t>
  </si>
  <si>
    <t>Se llevó a cabo reunión de socialización con asesor de Secretaria de Hacienda. Se recopilaron los formatos actualizados y diligenciados por los funcionarios seleccionados para iniciar implementación del Teletrabajo y proyectar así la resolución que les confiere la modalidad de Teletrabajo. De igual manera se logró realizar la identificación de procesos y subprocesos que se verán afectados por la inclusión del teletrabajo y la evaluación de la interacción entre los procesos existentes y el nuevo modelo.</t>
  </si>
  <si>
    <t xml:space="preserve">Sistema de Gestión de Calidad de la entidad, bajo la norma NTC ISO 9001:2015, actualizado </t>
  </si>
  <si>
    <t>Actualización del sistema de gestión de calidad en la alcaldía de Santiago de Cali</t>
  </si>
  <si>
    <t>BP26002705</t>
  </si>
  <si>
    <t>BP2600270510101</t>
  </si>
  <si>
    <t>Elaborar (10) documentos de evaluación en cumplimiento de los requisitos del Sistema de Gestión de Calidad en el Distrito especial de Santiago de Cali</t>
  </si>
  <si>
    <t>Se avanzó en la actualización de los siguientes requisitos de la NTC ISO 9001 versión 2015: matriz de partes interesadas, seguimiento a las herramientas de control, planificación y control de cambios y evaluación diagnóstica del Modelo de Operación por Procesos (alcance de 9 procesos).</t>
  </si>
  <si>
    <t>Instrumentos de servicio al ciudadano actualizados</t>
  </si>
  <si>
    <t>Elaboración de instrumentos para la implementación de la política de servicio al ciudadano en la alcaldía de Santiago de Cali</t>
  </si>
  <si>
    <t>BP26002715</t>
  </si>
  <si>
    <t>BP2600271510101</t>
  </si>
  <si>
    <t>Asistir técnicamente a (26) organismos para apropiación de los lineamientos de la Política de Servicio al Ciudadano en la Alcaldía de Santiago de Cali</t>
  </si>
  <si>
    <t>Departamento Administrativo de Desarrollo e Innovación Institucional - Subdirección de Trámites, Servicios y Gestión Documental</t>
  </si>
  <si>
    <t>BP2600271510201</t>
  </si>
  <si>
    <t>Instrumentos de servicio al ciudadano
actualizados</t>
  </si>
  <si>
    <t>Elaborar (1) documentos metodológicos de implementación de la Política de Servicio al Ciudadano en la Alcaldía de Santiago de Cali</t>
  </si>
  <si>
    <t>Se realizó análisis de la politica de servicio al ciudadano de la alcaldia de Cali, para su actualización</t>
  </si>
  <si>
    <t xml:space="preserve">Acciones de racionalización de trámites y servicios implementadas </t>
  </si>
  <si>
    <t>Implementación de la estrategia Antitrámites y acciones de racionalización en la alcaldía de Santiago de Cali</t>
  </si>
  <si>
    <t>BP26002711</t>
  </si>
  <si>
    <t>BP2600271110101</t>
  </si>
  <si>
    <t>Asistir técnicamente a (14) organismos para apropiación de los lineamientos de la estrategia Antitrámites en la Alcaldía de Santiago de Cali</t>
  </si>
  <si>
    <t>Se asistió tecnicamente a la secretaría de salud, de educación y el departamento administrativo de hacienda</t>
  </si>
  <si>
    <t>BP2600271110201</t>
  </si>
  <si>
    <t>Acciones de racionalización de trámites y
servicios implementadas</t>
  </si>
  <si>
    <t>Elaborar plan de racionalización con (11) acciones de racionalización de trámites y servicios en la Alcaldía de Santiago de Cali</t>
  </si>
  <si>
    <t>Se apoyó la definición de planes de trabajo para racionalizar las cadenas de trámites del sector construcción y del sector de espectáculos públicos</t>
  </si>
  <si>
    <t>Imágenes digitalizadas de documentación con organización archivística</t>
  </si>
  <si>
    <t>Aplicación De la Ley General de Archivo al patrimonio documental en la Alcaldía de Santiago de Cali</t>
  </si>
  <si>
    <t>BP26002708</t>
  </si>
  <si>
    <t>BP2600270810101</t>
  </si>
  <si>
    <t>Realizar jornadas de sensibilización a (1500) personas vinculadas a la Administración, en la aplicación del ejercicio archivístico.</t>
  </si>
  <si>
    <t>Personas
capacitadas</t>
  </si>
  <si>
    <t>BP2600270810201</t>
  </si>
  <si>
    <t>Imágenes digitalizadas de documentación
con organización archivística</t>
  </si>
  <si>
    <t>Organizar y depurar en un (100%) los documentos de archivos de gestión e inactivos de los organismos de la administración central</t>
  </si>
  <si>
    <t>Sistema de gestión documental implementado</t>
  </si>
  <si>
    <t>Se digitalizaron 69.260 las imágenes de archivo, producto de la organización y depuración de los archivos físicos logrando la ejecución durante el mes de marzo, en los organismos que fueron recibidos por el taller de Gestión Documental, de los acervos documentales de todos los organismos para su preservación, para el cumplimiento del plan de trabajo y su conservación total, de los seguimientos Organismo: Secretaría de Gobierno, (Decretos, Proyecto de acuerdos, Boletines Oficiales, Actas de Consejo de Gobierno).</t>
  </si>
  <si>
    <t>Estrategia de rendición de cuentas implementada</t>
  </si>
  <si>
    <t>Fortalecimiento de la política de rendición de cuentas en la alcaldía de Santiago de Cali</t>
  </si>
  <si>
    <t>BP26002712</t>
  </si>
  <si>
    <t>BP2600271210101</t>
  </si>
  <si>
    <t>Asistir técnicamente a (26) organismos para apropiación de los lineamientos de la Política de Rendición de Cuentas en la Alcaldía de Santiago de Cali</t>
  </si>
  <si>
    <t xml:space="preserve">Se asistió tecnicamente al Departamento Administrativo de Desarrollo e Innovación Institucional para aplicar los lineamiento de la política de rendición de cuentas en la elaboración de la estrategia anual de rendición de cuentas </t>
  </si>
  <si>
    <t>BP2600271210201</t>
  </si>
  <si>
    <t>Elaborar (1) documento metodológicos de implementación de la Política de Rendición de Cuentas en la Alcaldía de Santiago de Cali</t>
  </si>
  <si>
    <t>Se realizó lo siguiente que sirve como insumo para la construcción del documento metodologico de implementación de la politica de rendición de cuentas en la alcaldia de santiago de cali:
* Herramienta Dashboard Tracing 
* Documento "estrategia de rendición de cuentas 2024"
* Autodiagnóstico rendición de cuentas</t>
  </si>
  <si>
    <t>Cali, Inteligente para la Vida</t>
  </si>
  <si>
    <t>Instituciones Educativas Oficiales con infraestructura de red y datos adecuada</t>
  </si>
  <si>
    <t>Actualización de la red de datos de las Instituciones Educativas Oficiales de Santiago de Cali</t>
  </si>
  <si>
    <t xml:space="preserve">Secretaría de Educación Distrital - Subsecretaría de Planeación Sectorial </t>
  </si>
  <si>
    <t>BP2600294510201</t>
  </si>
  <si>
    <t xml:space="preserve">Beneficiar a 158793 estudiantes de las 92 IEO, con acceso a  conectividad a internet </t>
  </si>
  <si>
    <t>Estudiantes con acceso a contenidos web en el establecimiento educativo</t>
  </si>
  <si>
    <t>Distrito Reconciliado</t>
  </si>
  <si>
    <t>Derechos Humanos, Paz y Reconciliación</t>
  </si>
  <si>
    <t xml:space="preserve">Sedes de las IEO con programa de mediación escolar implementado y funcionando </t>
  </si>
  <si>
    <t>Implementación del programa de mediación escolar en las sedes educativas de Santiago de Cali</t>
  </si>
  <si>
    <t>Secretaría de Educación Distrital - Subsecretaría de Calidad Educativa</t>
  </si>
  <si>
    <t>BP2600268810101</t>
  </si>
  <si>
    <t>Establecer estrategias de resolución de conflictos en 30 Sedes educativas</t>
  </si>
  <si>
    <t>Entidades territoriales con estrategias para la prevención de riesgos sociales en los entornos escolares implementadas</t>
  </si>
  <si>
    <t>BP2600268810201</t>
  </si>
  <si>
    <t>Cantidad de sedes educativas en las que se ha implementado el programa de mediación escolar</t>
  </si>
  <si>
    <t>Asistir a 30 Comunidades (Sedes de IEO) tecnicamente para la implementación y funcionamiento de un programa de mediación escolar</t>
  </si>
  <si>
    <t>Comunidades asistidas técnicamente</t>
  </si>
  <si>
    <t>Cali Distrito Previene las Violencias</t>
  </si>
  <si>
    <t>Instituciones Educativas Oficiales que cuentan con apoyo psicosocial para la salud mental y prevención de los diferentes tipos de violencia</t>
  </si>
  <si>
    <t>Fortalecimiento de las IEO con apoyo psicosocial para la salud mental y prevención de los diferentes tipos de violencia en Cali</t>
  </si>
  <si>
    <t>BP2600270310101</t>
  </si>
  <si>
    <t>Instituciones Educativas Oficiales que cuentan con apoyo psicosocial para la salud mental y prevención de los diferentes tipos de violencia.</t>
  </si>
  <si>
    <t>Asistir a 92 Comunidades (IEO) tecnicamente con apoyo psicosocial para la salud mental y prevención de los diferentes tipos de violencia</t>
  </si>
  <si>
    <t>Fortalecimiento de Sistemas Locales de Justicia y Penitenciarios</t>
  </si>
  <si>
    <t>Jóvenes vinculados al sistema de responsabilidad penal con restitución del derecho a la educación</t>
  </si>
  <si>
    <t>Mejoramiento de la atención educativa de los jóvenes del Sistema de Responsabilidad Penal Adolescente en Santiago de Cali</t>
  </si>
  <si>
    <t>Secretaría de Educación Distrital - Subsecretaría de Cobertura Educativa</t>
  </si>
  <si>
    <t>BP2600371110101</t>
  </si>
  <si>
    <t>Realizar diseño y elaboración de 1 material educativo adaptado a las necesidades de los estudiantes pertenecientes al SRPA</t>
  </si>
  <si>
    <t xml:space="preserve">Contenidos educativos para la educación inicial, preescolar, básica y media producidos </t>
  </si>
  <si>
    <t>BP2600371110201</t>
  </si>
  <si>
    <t>Capacitar a 26 docentes en estrategias educativas pertinentes para la atención de la población de SRPA</t>
  </si>
  <si>
    <t>Docentes y agentes educativos  de educación inicial, preescolar, básica y media beneficiados con estrategias de mejoramiento de sus capacidades</t>
  </si>
  <si>
    <t>BP2600371110301</t>
  </si>
  <si>
    <t>No. De estudiantes del SRPA atendidos</t>
  </si>
  <si>
    <t>Fortalecer la atención educativa  a los 458 adolescentes y jóvenes pertenecientes a la población del SRPA por medio de capacitaciones y dotaciones.</t>
  </si>
  <si>
    <t>Estrategias de protección para el restablecimiento de derechos implementadas</t>
  </si>
  <si>
    <t>Poblaciones Construyendo Territorio</t>
  </si>
  <si>
    <t>Desarrollando Capacidades, Promoviendo Oportunidades a Población en Situación de Discapacidad</t>
  </si>
  <si>
    <t xml:space="preserve">Estudiantes con discapacidad y capacidades o talentos excepcionales vinculados a educación inclusiva forma, educación para el trabajo y el desarrollo humano y educación adecuada para la integración </t>
  </si>
  <si>
    <t>Fortalecimiento de la atención integral a la población con discapacidad y capacidad y/o talento excepcional para la permanencia en el sistema educativo de Cali</t>
  </si>
  <si>
    <t>BP2600256410101</t>
  </si>
  <si>
    <t>No. de estudiantes con Discapacidad, capacidades y/o talentos excepcionales vinculados al sistema educativo Oficial de Santiago de Cali</t>
  </si>
  <si>
    <t>Beneficiar a 3351 personas con discapacidad y capacidades o talentos excepcionales con estrategías de permanencia</t>
  </si>
  <si>
    <t>Personas  beneficiarias de estrategias de permanencia</t>
  </si>
  <si>
    <t>01/03/2024</t>
  </si>
  <si>
    <t xml:space="preserve">El avance de 4,5% en el producto correspone a la contratación de profesionales de apoyo en modelos lingüísticos e intérpretes de lengua de señas colombiana, para atender las necesidades educativas de los estudiantes con discapacidad auditiva  usuarios de lengua de señas colombiana, y profesionales de apoyo pedagógico y tiflólogos, para atender las necesidades educativas de los estudiantes con discapacidad matriculados en las Instituciónes Educativas Oficiales (IEO) </t>
  </si>
  <si>
    <t>BP2600256410102</t>
  </si>
  <si>
    <t>Beneficiar a 60 docentes y agentes educativos  de educación inicial, preescolar, básica y media con estrategias de mejoramiento de sus capacidades</t>
  </si>
  <si>
    <t>BP2600256410201</t>
  </si>
  <si>
    <t>Beneficiar a 679  jóvenes con discapacidad, en la modalidad de Educación adecuada para la integración social y en la modalidad de Educación para el trabajo y el desarrollo humano</t>
  </si>
  <si>
    <t>Personas beneficiadas con procesos de formación informal</t>
  </si>
  <si>
    <t>El avance de 20% en el producto correspone a la contratación de las fundaciones y asociaciones encargadas de brindar atencion en la modalidad de educación adecuada para la integración social de los jóvenes con discapacidad.</t>
  </si>
  <si>
    <t>Intervenciones (Mantenimiento, adecuación de infraestructura) realizadas a sedes educativas</t>
  </si>
  <si>
    <t>Mejoramiento a la Infraestructura física de las Sedes Educativas Oficiales para las vigencias 2024-2028 en Santiago de Cali</t>
  </si>
  <si>
    <t>Secretaría de Educación Distrital- Subsecretaría de Planeacion Sectorial</t>
  </si>
  <si>
    <t>BP2600470110102</t>
  </si>
  <si>
    <t>Sedes Educativas con intervenciones en mantenimiento o adecuaciones</t>
  </si>
  <si>
    <t>Mejorar la infraestructura de 13 sedes educativas oficiales de Santiago de Cali</t>
  </si>
  <si>
    <t>Sedes educativas mejoradas</t>
  </si>
  <si>
    <t>El avance de 3,1% en el producto corresponde a un adiconal realizado para el contrato de intervención con obras de emergencia en las Sedes Educativas Oficiales de Santiago de Cali</t>
  </si>
  <si>
    <t>Mejoramiento de la infraestructura en las Sedes Educativas Oficiales de la Comuna 7 de Santiago de Cali</t>
  </si>
  <si>
    <t>BP2600484010101</t>
  </si>
  <si>
    <t>Sedes educativas intervenidas y mejoradas</t>
  </si>
  <si>
    <t>Realizar el mejoramiento de las áreas escolares en la IEO Siete de Agosto - Sede Principal</t>
  </si>
  <si>
    <t xml:space="preserve">Sedes educativas mejoradas </t>
  </si>
  <si>
    <t>Mejoramiento de la infraestructura en las Sedes Educativas Oficiales de la Comuna 8 de Santiago de Cali</t>
  </si>
  <si>
    <t>BP2600486110101</t>
  </si>
  <si>
    <t>Realizar el mejoramiento de las áreas escolares de la Sede Educativa Manuel Rebolledo y  la Sede Educativa Nuestra Señora de Fátima</t>
  </si>
  <si>
    <t>Mejoramiento de la infraestructura en las Sedes Educativas Oficiales de la Comuna 18 de Santiago de Cali</t>
  </si>
  <si>
    <t>BP2600487010101</t>
  </si>
  <si>
    <t>Realizar el mejoramiento de las áreas escolares en la Sede principal de la IEO Álvaro Echeverry Perea, Sedes educativas Magdalena Ortega de Nariño,  Monseñor Luis Adriano Díaz y Jhon F Kennedy</t>
  </si>
  <si>
    <t>Mejoramiento de la infraestructura en las Sedes Educativas Oficiales del Corregimiento Montebello de Santiago de Cali</t>
  </si>
  <si>
    <t>BP2600487210101</t>
  </si>
  <si>
    <t>Realizar el mejoramiento de las áreas escolares  en  la  IEO Montebello  Sede Principal y Sede San Pedro Apóstol</t>
  </si>
  <si>
    <t>Mejoramiento de la infraestructura en las Sedes Educativas Oficiales de la Comuna 15 de Santiago de Cali</t>
  </si>
  <si>
    <t>BP26004873</t>
  </si>
  <si>
    <t>BP2600487310101</t>
  </si>
  <si>
    <t>Realizar el mejoramiento de las  área escolares en las Sedes Educativas Alfonso Bonilla Naar , Sede Educativa Niño Jesus de Atocha, y Sede Principal  de la IEO Ciudad Cordoba</t>
  </si>
  <si>
    <t>Mejoramiento de la infraestructura en las Sedes Educativas Oficiales del Corregimiento El Hormiguero de Santiago de Cali</t>
  </si>
  <si>
    <t>BP2600488010101</t>
  </si>
  <si>
    <t>Realizar el mejoramiento de las áreas escolares en la Sede Educativa Tulia Borrero Mercado del Corregimiento de El Hormiguero</t>
  </si>
  <si>
    <t>Mejoramiento de la infraestructura en las Sedes Educativas Oficiales de la Comuna 20 de Santiago de Cali</t>
  </si>
  <si>
    <t>BP26004890</t>
  </si>
  <si>
    <t>BP2600489010101</t>
  </si>
  <si>
    <t xml:space="preserve">Realizar el mejoramiento de las áreas escolares en la Sede Educativa Simón Bolívar y la Sede Educativa Antonia Santos </t>
  </si>
  <si>
    <t>Mejoramiento de la infraestructura en las Sedes Educativas Oficiales del Corregimiento La Elvira de Santiago de Cali</t>
  </si>
  <si>
    <t>BP26004892</t>
  </si>
  <si>
    <t>BP2600489210101</t>
  </si>
  <si>
    <t>Realizar el mejoramiento en las áreas escolares de la Sede Educativa Boyacá en el Corregimiento La Elvira</t>
  </si>
  <si>
    <t>Mejoramiento de la infraestructura en las Sedes Educativas Oficiales de la Comuna 19 de Santiago de Cali</t>
  </si>
  <si>
    <t>BP26004893</t>
  </si>
  <si>
    <t>BP2600489310101</t>
  </si>
  <si>
    <t xml:space="preserve">Realizar el mejoramiento de las áreas escolares en la IEO Multipropósito - Sede Principal, y en la IEO Liceo Departamental - Sede Principal </t>
  </si>
  <si>
    <t>Mejoramiento de la infraestructura en las Sedes Educativas Oficiales de la Comuna 2 de Santiago de Cali</t>
  </si>
  <si>
    <t>BP26004894</t>
  </si>
  <si>
    <t>BP2600489410101</t>
  </si>
  <si>
    <t xml:space="preserve">Realizar el mejoramiento de los espacios escolares de la Sede Educativa Inmaculada de Bataclan; Sede Educativa Brisas de los Álamos, y  la Sede Educativa República de Brasil </t>
  </si>
  <si>
    <t>Mejoramiento de la infraestructura de las Sedes Educativas Oficiales de la Comuna 4 de Santiago de Cali</t>
  </si>
  <si>
    <t>BP2600485010101</t>
  </si>
  <si>
    <t>Realizar el mejoramiento del área escolar en la IEO José Antonio Galan - Sede Principal y la IEO La Merced - Sede CENDOE</t>
  </si>
  <si>
    <t>Mejoramiento de la infraestructura en las Sedes Educativas Oficiales de la Comuna 3 de Santiago de Cali</t>
  </si>
  <si>
    <t>BP2600489110101</t>
  </si>
  <si>
    <t>Realizar el mejoramiento del área escolar en la IEO Santa Librada - Sede Eustaquio Palacios IEO Normal Superior Farallones - Sede Manuel Sinisterra y Sede Martin Restrepo Mejía</t>
  </si>
  <si>
    <t>Mejoramiento de la infraestructura en las Sedes Educativas Oficiales de la Comuna 6 de Santiago de Cali</t>
  </si>
  <si>
    <t>BP2600490010101</t>
  </si>
  <si>
    <t>Realizar el mejoramiento del área escolar en la Sede Cecilia Muñoz Ricaurte y la Sede Pablo Emilio Caicedo en la Comuna 6</t>
  </si>
  <si>
    <t xml:space="preserve">Distrito Educador </t>
  </si>
  <si>
    <t xml:space="preserve">La Escuela me acoge </t>
  </si>
  <si>
    <t>Estudiantes en condición de vulnerabilidad beneficiarios de paquetes escolares</t>
  </si>
  <si>
    <t>Dotación de paquetes escolares para las instituciones educativas oficiales con matricula de población vulnerable de Santiago de  Cali</t>
  </si>
  <si>
    <t>BP2600268010101</t>
  </si>
  <si>
    <t>Estudiantes en condición de vulnerabilidad beneficiados con la estrategia de paquetes escolares</t>
  </si>
  <si>
    <t xml:space="preserve">Dotar con paquetes escolares a 9075 estudiantes en situacion de vulneravilidad vinculadas a las Instituciones Educativas Oficiales (IEO) </t>
  </si>
  <si>
    <t>Personas beneficiarias de estrategias de permanencia</t>
  </si>
  <si>
    <t>Población en edad escolar matriculada en el sistema educativo oficial de Santiago de Cali</t>
  </si>
  <si>
    <t>Administración del pago de la nómina permanente y temporal del personal docente directivo docente y administrativo de las instituciones educativas oficiales de Santiago de Cali</t>
  </si>
  <si>
    <t>Secretaría de Educación Distrital - Subsecretaría Administrativa y Financiera</t>
  </si>
  <si>
    <t>BP2600469010101</t>
  </si>
  <si>
    <t>Número de Estudiantes matriculados en el Sistema Educativo Oficial de Santiago de Cali atendido a través de la planta de personal docente, Directivo Docente y Administrativos</t>
  </si>
  <si>
    <t>Garantizar la operación de las 92 instituciones educativas de Santiago de Cali</t>
  </si>
  <si>
    <t>Establecimientos educativos en operación</t>
  </si>
  <si>
    <t>El avance de 16,4% corresponde a la liquidación y pagó la nómina hasta el mes de marzo correspondiente a docentes, directivos docentes y administrativos.</t>
  </si>
  <si>
    <t>BP2600469010102</t>
  </si>
  <si>
    <t>Vincular a 62 docentes del nivel inicial, preescolar, básica o media de planta temporal</t>
  </si>
  <si>
    <t>Docentes del nivel inicial, preescolar, básica o media contratados</t>
  </si>
  <si>
    <t>El avance de 1,82% corresponde a la liquidación y pagó la nómina hasta el mes de marzo correspondiente a la planta docente temporal.</t>
  </si>
  <si>
    <t>Fortalecimiento del acceso al sistema educativo oficial en Santiago de  Cali</t>
  </si>
  <si>
    <t>BP2600303810401</t>
  </si>
  <si>
    <t>Estudiantes vinculados al sistema educativo oficial en los niveles de preescolar, básica primaria, secundaria y media</t>
  </si>
  <si>
    <t xml:space="preserve">Beneficiar a 59.414 personas con estrategias de fomento para el acceso a la educación inicial, preescolar, básica y media. </t>
  </si>
  <si>
    <t xml:space="preserve">Personas beneficiadas con estrategias de fomento para el acceso a la educación inicial, preescolar, básica y media. </t>
  </si>
  <si>
    <t>07/02/2024</t>
  </si>
  <si>
    <t>08/12/2024</t>
  </si>
  <si>
    <t>El avance de 15% en el producto corresponde al inicio de ejecución en la prestación del servicio educativo mediante 108 contratos suscritos,  prestación del servicio educativo para  42173 estudiantes,  beneficiados con estrategias de cobertura contratada.</t>
  </si>
  <si>
    <t>Mejoramiento en la administración de los fondos de servicios educativos y gratuidad de Cali</t>
  </si>
  <si>
    <t>BP2600329310101</t>
  </si>
  <si>
    <t>Brindar asesoría, apoyo y seguimiento a las 92 IEO de la Secretaría de Educación en el manejo de los fondos de servicios educativos</t>
  </si>
  <si>
    <t xml:space="preserve">Entidades territoriales con seguimiento y evaluación a la gestión. </t>
  </si>
  <si>
    <t>El avance de 20,5%  corresponde a la expedición de las resoluciones y registros presupuestales para la transferencia de recursos propios a las instituciones educativas oficiales  urbanas y rurales</t>
  </si>
  <si>
    <t>BP2600329310201</t>
  </si>
  <si>
    <t>Beneficiar a 168858  estudiantes con estrategias de fomento para el acceso a la educación inicial, preescolar, básica y media</t>
  </si>
  <si>
    <t>Personas beneficiadas con estrategias de fomento para el acceso a la educación inicial, preescolar, básica y media</t>
  </si>
  <si>
    <t>Apoyo en el pago de los servicios públicos de las I.E.O. de la zona urbana del Distrito de Santiago de Cali</t>
  </si>
  <si>
    <t>BP2600420010101</t>
  </si>
  <si>
    <t xml:space="preserve">Realizar el Pago de servicios publicos a 92 Instituciones Educativas Oficiales  para su operacion </t>
  </si>
  <si>
    <t>El avance de 25% del producto corresponde al  pago de los consumos de las Instituciones Educativa.</t>
  </si>
  <si>
    <t>Mejoramiento de las condiciones de la planta física y de servicios públicos de las IEO de Santiago de Cali</t>
  </si>
  <si>
    <t>BP2600309510101</t>
  </si>
  <si>
    <t>Realizar pago de arrendamientos y servicios públicos a 25 sedes de IEO para su operación</t>
  </si>
  <si>
    <t>El avance de 37,5% corresponde a la realización de 11 contratos de arrendamiento de sedes educativas</t>
  </si>
  <si>
    <t>Fortalecimiento a la Gestión Administrativa de la Secretaria de Educación de Santiago de Cali</t>
  </si>
  <si>
    <t>BP2600370810101</t>
  </si>
  <si>
    <t>Mejorar la gestión de la Secretaria de Educación en la prestación del servicio educativo a las 92 IEO</t>
  </si>
  <si>
    <t>El avance de 26% en el producto corresponde a  la prestación del servicio de aseo integral y vigilancia en las 92 IEO, asi como al apoyo a la gestión administrativa en la prestacion del servicio educativo de la secretaría de Educación de Cali</t>
  </si>
  <si>
    <t>Fortalecimiento del ejercicio de la función de Inspección, Vigilancia, y Control de los establecimientos de educación formal, informal y, educación para el trabajo y el desarrollo humano en Santiago de Cali</t>
  </si>
  <si>
    <t>Despacho</t>
  </si>
  <si>
    <t>BP2600470210201</t>
  </si>
  <si>
    <t>Realizar Inspeccion, vigilancia y control a 152 Establecimientos Educativos</t>
  </si>
  <si>
    <t>Entidades del sector educativo con inspección, vigilancia y control</t>
  </si>
  <si>
    <t>El avance de 1,8% corresponde a la etapa de planeacion del POAIV; ya se cuenta con cronograma de visitas a los establecimientos de educación formal y educación para el trabajo y desarrollo humano.</t>
  </si>
  <si>
    <t>Estudiantes de las IEO con estrategia de transporte escolar</t>
  </si>
  <si>
    <t>Prestación del servicio de transporte escolar a la población estudiantil de las IEO de Cali</t>
  </si>
  <si>
    <t>BP2600257310101</t>
  </si>
  <si>
    <t>Atender a 22777 estudiantes con servicio de Transporte Escolar</t>
  </si>
  <si>
    <t>Beneficiarios de transporte escolar (Estudiantes)</t>
  </si>
  <si>
    <t>El avance de 23,02% del producto corresponde a la prestación del servicio de transporte escolar a 22474 beneficiados de las Institiciones Educativas.</t>
  </si>
  <si>
    <t>BP2600257310201</t>
  </si>
  <si>
    <t>Realizar seguimiento a la estrategia de transporte escolar en las  67 IEO</t>
  </si>
  <si>
    <t>Entidades asistidas técnicamente  (IEO con seguimiento estrategia transpote escolar)</t>
  </si>
  <si>
    <t>Instituciones educativas oficiales dotadas</t>
  </si>
  <si>
    <t>Mejoramiento del equipamiento y dotación para las IEO de Santiago de  Cali</t>
  </si>
  <si>
    <t>BP26003088</t>
  </si>
  <si>
    <t>BP2600308810101</t>
  </si>
  <si>
    <t>Instituciones Educativas Oficiales dotadas</t>
  </si>
  <si>
    <t>Dotar de mobiliario y equipos a los ambientes de aprendizaje de 5 sedes educativas</t>
  </si>
  <si>
    <t>Ambientes de aprendizaje dotados</t>
  </si>
  <si>
    <t xml:space="preserve">Dotación de equipamiento tecnológico y mobiliario escolar en las sedes de las Instituciones Educativa Oficiales de la Comuna 8 de Santiago de Cali </t>
  </si>
  <si>
    <t>BP2600379210101</t>
  </si>
  <si>
    <t>Dotar con equipamiento tecnológico,  mobiliario pedagogico y maquinaria electrica las 7 sedes priorizadas de 7 IEO de la Comuna 8</t>
  </si>
  <si>
    <t>Sedes dotadas</t>
  </si>
  <si>
    <t>Dotación de equipamiento escolar en las sedes de las Instituciones Educativas Oficiales de la Comuna 9 de Santiago de Cali</t>
  </si>
  <si>
    <t>BP2600407410101</t>
  </si>
  <si>
    <t>Dotar con equipamiento tecnológico,  mobiliario pedagogico y maquinaria electrica las 3 sedes priorizadas de las IEO de la Comuna 9</t>
  </si>
  <si>
    <t>Sede dotada</t>
  </si>
  <si>
    <t>Dotación de equipos tecnológicos e implementos educativos para las Sedes  de las Instituciónes Educativas Oficiales de la Comuna 6  de Santiago de Cali.</t>
  </si>
  <si>
    <t>BP2600486210101</t>
  </si>
  <si>
    <t>Dotar con equipamiento tecnológico,  a la Institución Educativa Oficial Pedro Antonio Molina sede principal y la Sede Cecilia Muñoz Ricaurte de la Comuna 6</t>
  </si>
  <si>
    <t>Dotación de equipos tecnológicos e implementos educativos para las Instituciones Educativas Oficiales de la Comuna 3 de Santiago de Cali</t>
  </si>
  <si>
    <t>BP2600435510101</t>
  </si>
  <si>
    <t>Dotar con equipos tecnológicos e implementos escolares a la sede de la IEO de Santa Librada y IEO Normal Superior Farallones. Comuna 3</t>
  </si>
  <si>
    <t>Dotación de equipos tecnológicos e implementos educativos a las sedes de las Instituciones Educativas Oficiales de la Comuna 20 de Santiago de Cali</t>
  </si>
  <si>
    <t>BP2600445110101</t>
  </si>
  <si>
    <t>Dotar con equipos tecnológicos, implementos educativos y mobiliario escolar a 3 sedes educativas de las IEO de la Comuna 20</t>
  </si>
  <si>
    <t>Dotación de equipos tecnológicos e implementos educativos para las Instituciones Educativas Oficiales de la Comuna 16 de Santiago de Cali</t>
  </si>
  <si>
    <t>BP2600487110101</t>
  </si>
  <si>
    <t>Realizar la dotación de equipos de computos a 3 IEO y  de equipos tecnológicos a 2 IEO de la comuna 16</t>
  </si>
  <si>
    <t>Dotación de equipos audiovisuales y mobiliario escolar en las sedes de las Instituciones Educativas Oficiales del corregimiento el Hormiguero - Comuna 52 de Santiago de Cali</t>
  </si>
  <si>
    <t>BP2600491110101</t>
  </si>
  <si>
    <t>Dotar con equipos audiovisuales y moviliario a 4 Sedes de la IEO el Hormiguero</t>
  </si>
  <si>
    <t xml:space="preserve">Sedes dotadas
</t>
  </si>
  <si>
    <t>Estudiantes matriculados en las IEO con complementos alimentarios</t>
  </si>
  <si>
    <t>Fortalecimiento del programa de alimentación escolar para los estudiantes de las IEO de Santiago de Cali</t>
  </si>
  <si>
    <t>BP2600267910101</t>
  </si>
  <si>
    <t>Estudiantes de las Instituciones Educativas Oficiales beneficiados con Programa de Alimentación Escolar</t>
  </si>
  <si>
    <t>Suministrar  22.051.710 complementos alimentarios al 100% de los estudiantes focalizados en la matricula oficial</t>
  </si>
  <si>
    <t>Raciones contratadas (estudiantes beneficiados)</t>
  </si>
  <si>
    <t>El avance de 22,46% del producto corresponde a la entrega de 6.471.541 raciones en la Modalidad de Complemento Alimentario AM/PM  para la ejecución del  Programa de Alimentacion Escolar.</t>
  </si>
  <si>
    <t>BP2600267910201</t>
  </si>
  <si>
    <t>Realizar apoyo a la supervisión y control al programa de alimentacion escolar y 92 IEO</t>
  </si>
  <si>
    <t>Entidades asistidas técnicamente</t>
  </si>
  <si>
    <t>El avance de 4,8% del producto corresponde a las 25 visitas de supervisión realizadas en las sedes educativas beneficiadas con el Programa de Alimentación Escolar.</t>
  </si>
  <si>
    <t>Potencializando Saberes y Transformando Vidas</t>
  </si>
  <si>
    <t xml:space="preserve">Estudiantes beneficiados con programas de articulación con Instituciones de Educación Superior, de la formación técnica, Tecnológica, para el trabajo y el desarrollo humano (ETDH) </t>
  </si>
  <si>
    <t>Desarrollo de estrategias para la articulación de los niveles educativos en los trayectos pedagógicos en Santiago de Cali</t>
  </si>
  <si>
    <t>BP2600279620201</t>
  </si>
  <si>
    <t>Servicio de fomento para el acceso a la educación superior o terciaria</t>
  </si>
  <si>
    <t>Apoyar financieramente a 213 beneficiarios para el acceso y permanencia en la educaciòn superior o terciaria</t>
  </si>
  <si>
    <t xml:space="preserve">Beneficiarios de estrategias o programas de apoyo financiero para la permanencia en la educación superior o terciaria </t>
  </si>
  <si>
    <t>Implementación de estrategias de acceso a la educación para el trabajo y/o educación superior para jóvenes de Santiago de  Cali</t>
  </si>
  <si>
    <t>BP2600389810101</t>
  </si>
  <si>
    <t>Jóvenes que son beneficiados con estrategias de acceso a la Educación para el Trabajo y/o Educación Superior</t>
  </si>
  <si>
    <t>Beneficiar a 1000 estudiantes con apoyo financiero para el acceso y permanencia en la educación superior  o terciaria</t>
  </si>
  <si>
    <t>Beneficiarios de estrategias o programas de fomento para el acceso a la educación superior o terciaria</t>
  </si>
  <si>
    <t>Tejiendo Redes</t>
  </si>
  <si>
    <t xml:space="preserve">Instituciones educativas que promueven el fortalecimiento de sus prácticas pedagógicas desde un enfoque de ciudad en el marco de sus currículos </t>
  </si>
  <si>
    <t xml:space="preserve">Fortalecimiento de prácticas pedagogicas y curriculares en contexto de Ciudad en Santiago de Cali </t>
  </si>
  <si>
    <t>BP2600303310101</t>
  </si>
  <si>
    <t>Realizar procesos de formación docente a 46 IEO en relación con las prácticas de enseñanza</t>
  </si>
  <si>
    <t xml:space="preserve">Personas capacitadas con programas de educación informal </t>
  </si>
  <si>
    <t>BP2600303310201</t>
  </si>
  <si>
    <t>Instituciones Educativas Oficiales con docentes que fortalecen sus prácticas pedagógicas en relación con el currículo.</t>
  </si>
  <si>
    <t>Acompañar 46 IEO en el fortalecimiento de sus prácticas pedagógicas y el desarrollo de propuestas curriculares flexibles</t>
  </si>
  <si>
    <t>Entidades y organizaciones asistidas técnicamente</t>
  </si>
  <si>
    <t>BP2600303310301</t>
  </si>
  <si>
    <t>Realizar un (1) documentos reflexivo pedagógico y curricular</t>
  </si>
  <si>
    <t xml:space="preserve">Construyendo un Distrito Lector </t>
  </si>
  <si>
    <t>IEO que fortalecen en el Distrito los planes de lectura, escritura y oralidad desde la educación Inicial hasta la media</t>
  </si>
  <si>
    <t xml:space="preserve"> Fortalecimiento de la lectura escritura y oralidad en las IEO de Cali</t>
  </si>
  <si>
    <t>BP2600292610101</t>
  </si>
  <si>
    <t>Apoyar la elaboración de los planes de lectura, escritura y oralidad en 92IEO</t>
  </si>
  <si>
    <t xml:space="preserve">Entidades o instituciones asistidas técnicamente en innovación educativa
</t>
  </si>
  <si>
    <t>BP2600292610301</t>
  </si>
  <si>
    <t>IEO que desarrollan planes de lectura, escritura y oralidad.</t>
  </si>
  <si>
    <t>Apoyar la implementación de planes de lectura, escritura y oralidad en 92 IEO</t>
  </si>
  <si>
    <t xml:space="preserve">Establecimientos educativos apoyados para la implementación de modelos de innovación educativa
</t>
  </si>
  <si>
    <t>Bibliotecas escolares abiertas y articuladas con el sistema de bibliotecas públicas comunitarias vinculadas con procesos formativos y culturales</t>
  </si>
  <si>
    <t>Implementación de una red bibliotecas escolares articuladas con el sistema de bibliotecas públicas comunitarias de Santiago de Cali</t>
  </si>
  <si>
    <t>Secretaría de Educación Distrital- Subsecretaría de Calidad Educativa</t>
  </si>
  <si>
    <t>BP2600293110101</t>
  </si>
  <si>
    <t>Dotar 14 bibliotecas escolares de colecciones bibliográficas, mobiliario y recursos educativos que aporten a formas de enseñanza y aprendizaje innovadoras</t>
  </si>
  <si>
    <t>BP2600293110201</t>
  </si>
  <si>
    <t>Bibliotecas escolares abiertas y articuladas con el sistema de bibliotecas públicas comunitarias vinculadas con procesos formativos y culturales.</t>
  </si>
  <si>
    <t>Apoyar en la implementación en 14 establecimientos educativos (IEO) de modelos de innovación educativa</t>
  </si>
  <si>
    <t>Establecimientos educativos apoyados para la  implementación de modelos de innovación educativos</t>
  </si>
  <si>
    <t>BP2600293110301</t>
  </si>
  <si>
    <t>Asistir tecnicamente a 14 instituciones (IEO) en innovación educativa</t>
  </si>
  <si>
    <t xml:space="preserve">Entidades o instituciones asistidas técnicamente en innovación educativa </t>
  </si>
  <si>
    <t>Gestión de la Educación</t>
  </si>
  <si>
    <t>IEO fortalecidas en competencias comunicativas en lengua extranjera-Inglés</t>
  </si>
  <si>
    <t>Fortalecimiento en competencias comunicativas en lengua extranjera-Inglés en las Instituciones Educativas Oficiales de Santiago de Cali</t>
  </si>
  <si>
    <t>BP2600481910101</t>
  </si>
  <si>
    <t>Instituciones Educativas Oficiales fortalecidas en competencia comunicativa intercultural</t>
  </si>
  <si>
    <t>Realizar asistencia técnica a las 92 Instituciones Educativas Oficiales para el fomento del desarrollo de la Competencia Comunicativa Intercultural</t>
  </si>
  <si>
    <t xml:space="preserve">Entidades y organizaciones asistidas técnicamente
</t>
  </si>
  <si>
    <t>BP2600481910102</t>
  </si>
  <si>
    <t>Dotar a 24 Instituciones Educativas Oficiales de equipos tecnológicos para facilitar el aprendizaje de la lengua</t>
  </si>
  <si>
    <t xml:space="preserve">Sedes Dotadas
</t>
  </si>
  <si>
    <t>BP2600481910103</t>
  </si>
  <si>
    <t>Implementar el desarrollo de los ambientes de aprendizaje en las 4 Instituciones Educativas Oficiales</t>
  </si>
  <si>
    <t xml:space="preserve">Ambientes de Aprendizaje dotados
</t>
  </si>
  <si>
    <t>BP2600481910201</t>
  </si>
  <si>
    <t xml:space="preserve">Formar a 400 docentes y agentes educativos en la Competencia Comunicativa Intercultural </t>
  </si>
  <si>
    <t xml:space="preserve">Docentes y agentes educativos de educación inicial, preescolar, básica y media beneficiados con estrategias de mejoramiento de sus capacidades
</t>
  </si>
  <si>
    <t>BP2600481910301</t>
  </si>
  <si>
    <t>Fortalecer 2550 estudiantes de preescolar y básica primaria en competencias comunicativas en segunda lengua con activadades curriculares y extracurriculares</t>
  </si>
  <si>
    <t>Estudiantes beneficiados con estrategias de promoción del bilingüismo</t>
  </si>
  <si>
    <t xml:space="preserve">Revisión, ajuste y promulgación de la política pública de bilingüismo </t>
  </si>
  <si>
    <t>Elaboración de ajustes y divulgación del Documento para la Política Pública de Bilingüismo de Santiago de Cali</t>
  </si>
  <si>
    <t>BP2600299610101</t>
  </si>
  <si>
    <t xml:space="preserve">Documento de Política Pública ajustado y
promulgado
</t>
  </si>
  <si>
    <t>Avanzar en un 100% la revision y ajuste del proyecto de acuerdo de la Política pública de Bilingüismo.</t>
  </si>
  <si>
    <t xml:space="preserve">Documentos de lineamientos técnicos en educación inicial, preescolar, básica y media expedidos
</t>
  </si>
  <si>
    <t>BP2600299610201</t>
  </si>
  <si>
    <t>Realizar 4 reuniones del comité bilingüe y otras organizaciones con el fin de acordar acciones comunes que permitan una óptima implementación de la Política Pública de Bilingüismo.</t>
  </si>
  <si>
    <t xml:space="preserve">Procesos de socialización de lineamientos, política y normativa para la educación inicial, preescolar, básica y media realizados 
</t>
  </si>
  <si>
    <t xml:space="preserve">Lineamientos para la creación del observatorio de educación </t>
  </si>
  <si>
    <t>Implementación del Observatorio de la Educación del Distrito Especial de Santiago de Cali</t>
  </si>
  <si>
    <t>BP2600470010101</t>
  </si>
  <si>
    <t xml:space="preserve">Porcentaje de avance en la implementación del Observatorio de la Educación
</t>
  </si>
  <si>
    <t>Elaborar documento de investigación analítica del sector educativo</t>
  </si>
  <si>
    <t xml:space="preserve">Documentos realizados
</t>
  </si>
  <si>
    <t>BP2600470010201</t>
  </si>
  <si>
    <t xml:space="preserve">Elaborar documento con información sistematizada mediante aplicación de nuevas herramientas metodológicas y tecnológicas.
</t>
  </si>
  <si>
    <t xml:space="preserve">Documentos elaborados
</t>
  </si>
  <si>
    <t xml:space="preserve">Ruralidad Sustentable  </t>
  </si>
  <si>
    <t xml:space="preserve">Instituciones educativas rurales con acompañamiento para la resignificación de sus PIER desde la seguridad alimentaria, la diversidad ambiental y relaciones productivas </t>
  </si>
  <si>
    <t xml:space="preserve">Fortalecimiento de los proyectos Educativos Rurales </t>
  </si>
  <si>
    <t xml:space="preserve">Secretaría de Educación Distrital - Subsecretaría de Calidad Educativa
</t>
  </si>
  <si>
    <t>BP2600295010101</t>
  </si>
  <si>
    <t>Instituciones educativas rurales que resignifican sus PIER.</t>
  </si>
  <si>
    <t>Fortalecer los PIER de las 13 IEO rurales</t>
  </si>
  <si>
    <t>Establecimientos educativos beneficiados</t>
  </si>
  <si>
    <t>BP2600295010201</t>
  </si>
  <si>
    <t>Fortalecer las propuestas curriculares fexibles en los PIER de las 15 IEO</t>
  </si>
  <si>
    <t>Docentes y agentes educativos de educación inicial, preescolar, básica y media beneficiados con estrategias de mejoramiento de sus capacidades</t>
  </si>
  <si>
    <t>Proyectos definanciados</t>
  </si>
  <si>
    <t>BP26002945</t>
  </si>
  <si>
    <t>BP26002688</t>
  </si>
  <si>
    <t>BP26002703</t>
  </si>
  <si>
    <t>BP26003711</t>
  </si>
  <si>
    <t>BP26002564</t>
  </si>
  <si>
    <t>BP26004701</t>
  </si>
  <si>
    <t>BP26004840</t>
  </si>
  <si>
    <t>BP26004861</t>
  </si>
  <si>
    <t>BP26004870</t>
  </si>
  <si>
    <t>BP26004872</t>
  </si>
  <si>
    <t>BP26004880</t>
  </si>
  <si>
    <t>BP26004850</t>
  </si>
  <si>
    <t>BP26004891</t>
  </si>
  <si>
    <t>BP26004900</t>
  </si>
  <si>
    <t>BP26002680</t>
  </si>
  <si>
    <t>BP26004690</t>
  </si>
  <si>
    <t>BP26003038</t>
  </si>
  <si>
    <t>BP26003293</t>
  </si>
  <si>
    <t>BP26004200</t>
  </si>
  <si>
    <t>BP26003095</t>
  </si>
  <si>
    <t>BP26003708</t>
  </si>
  <si>
    <t>BP26004702</t>
  </si>
  <si>
    <t>BP26002573</t>
  </si>
  <si>
    <t>BP26003792</t>
  </si>
  <si>
    <t>BP26004074</t>
  </si>
  <si>
    <t>BP26004862</t>
  </si>
  <si>
    <t>BP26004355</t>
  </si>
  <si>
    <t>BP26004451</t>
  </si>
  <si>
    <t>BP26004871</t>
  </si>
  <si>
    <t>BP26004911</t>
  </si>
  <si>
    <t>BP26002679</t>
  </si>
  <si>
    <t>BP26002796</t>
  </si>
  <si>
    <t>BP26003898</t>
  </si>
  <si>
    <t>BP26003033</t>
  </si>
  <si>
    <t>BP26002926</t>
  </si>
  <si>
    <t>BP26002931</t>
  </si>
  <si>
    <t>BP26004819</t>
  </si>
  <si>
    <t>BP26002996</t>
  </si>
  <si>
    <t>BP26004700</t>
  </si>
  <si>
    <t>BP26002950</t>
  </si>
  <si>
    <t>Territorio Inteligente</t>
  </si>
  <si>
    <t>Cali Inteligente</t>
  </si>
  <si>
    <t xml:space="preserve">Central de Telecomunicaciones en Salud Fase 1 diseñada y construida  </t>
  </si>
  <si>
    <t>Implementación de un sistema integrado de información y gestión de la autoridad sanitaria en santiago de Cali</t>
  </si>
  <si>
    <t>BP26003697</t>
  </si>
  <si>
    <t>BP2600369710101</t>
  </si>
  <si>
    <t>Sistema integrado de información en salud pública diseñado y funcionando.</t>
  </si>
  <si>
    <t>Implementar un sistema de información.</t>
  </si>
  <si>
    <t>Secretaría de Salud Pública/Unidad de Apoyo</t>
  </si>
  <si>
    <t>Cali, solidaria por la Vida</t>
  </si>
  <si>
    <t xml:space="preserve">Distrito Reconciliado </t>
  </si>
  <si>
    <t xml:space="preserve">Cali Distrito Previene las Violencias </t>
  </si>
  <si>
    <t>Personas intervenidas con estrategia en salud para la promoción de la convivencia,  el fortalecimiento del tejido social y el abordaje de las violencias con perspetiva de genero, aumentadas</t>
  </si>
  <si>
    <t>Implementación de estrategias para la promoción de la convivencia, el fortalecimiento del tejido social y el abordaje de las violencias con perspectiva de género en santiago de cali</t>
  </si>
  <si>
    <t>BP26002702</t>
  </si>
  <si>
    <t>Secretaría de Salud Pública/Subsecretaria Promoción Prevención y Producción Social</t>
  </si>
  <si>
    <t>BP2600270210101</t>
  </si>
  <si>
    <t xml:space="preserve">Personas intervenidas con estrategias en salud para la promoción de la convivencia, el fortalecimiento del tejido social y el abordaje de las violencias, con perspectiva de género </t>
  </si>
  <si>
    <t>Capacitar 1000 personas en temas de exigibilidad de derechos en salud pública y prestación de servicios</t>
  </si>
  <si>
    <t>BP2600270210201</t>
  </si>
  <si>
    <t xml:space="preserve">Intervenir  650 personas en temas de promocion  y particiopacion social en materia de salud y seguridad social  </t>
  </si>
  <si>
    <t>Personas que participan en el ejercicio pleno de sus deberes y derechos en materia de salud y seguridad social en salud</t>
  </si>
  <si>
    <t>Capacitación a lideres en salud mental comunitaria Comuna 21 Santiago de Cali</t>
  </si>
  <si>
    <t>BP26003515</t>
  </si>
  <si>
    <t>Secretaría de Salud Pública/Subsecretaria Promoción Prevención y Producción Social de la Salud</t>
  </si>
  <si>
    <t>BP2600351510101</t>
  </si>
  <si>
    <t>Personas formados en Salud Mental comunitaria, convivencia social y exigibilidad de derechos en salud mental comuna 21</t>
  </si>
  <si>
    <t>Capacitar 45 personas en temas de salud pública, salud mental y prestación de servicios</t>
  </si>
  <si>
    <t>BP2600351510201</t>
  </si>
  <si>
    <t>Implementar 1 campaña de servicio de promoción en temas de salud mental y convivencia</t>
  </si>
  <si>
    <t>Campañas de promoción en temas de salud mental y convivencia implementadas</t>
  </si>
  <si>
    <t>Atención Integral a las Víctimas del Conflicto</t>
  </si>
  <si>
    <t>Personas víctimas del conflicto armado atendidas psicosocialmente y en salud integral.</t>
  </si>
  <si>
    <t>Fortalecimiento a los procesos de atención psicosocial y salud integral a personas víctimas del conflicto armado, sus familias y comunidades en santiago de cali</t>
  </si>
  <si>
    <t>BP26002848</t>
  </si>
  <si>
    <t>BP2600284810101</t>
  </si>
  <si>
    <t>Fortalecer el servicio de asistencia técnica en capacidades básicas y técnicas en salud  y  atención a víctimas del conflicto armado en 100 entidades</t>
  </si>
  <si>
    <t xml:space="preserve">Entidades fortalecidas en capacidades básicas y técnicas en salud
</t>
  </si>
  <si>
    <t xml:space="preserve">El proyecto se encuentra en el perfeccionamiento de las actividades para dar inicio a su desarrollo en el mes de mayo del 2024. </t>
  </si>
  <si>
    <t>BP2600284810102</t>
  </si>
  <si>
    <t xml:space="preserve">Promocionar la participación social de 100 personas víctimas del conflicto armado en materia de salud </t>
  </si>
  <si>
    <t>BP2600284810201</t>
  </si>
  <si>
    <t>Personas víctimas del conflicto armado
atendidas psicosocialmente y en salud integral</t>
  </si>
  <si>
    <t>Atender psicosocialmente y en salud integral a 3000 personas víctimas del conflicto armado</t>
  </si>
  <si>
    <t xml:space="preserve">Personas atendida en acciones de promoción social para poblaciones vulnerables  
</t>
  </si>
  <si>
    <t xml:space="preserve">Se avanzo en la intervencion psicosocial y en salud integral a un grupo de personas victimas del conflicto armado correspondiente a 4 sesiones de las  ocho sesiones programadas.  </t>
  </si>
  <si>
    <t>BP2600284810202</t>
  </si>
  <si>
    <t>Realizar 1 campaña en temas de salud mental y convivencia</t>
  </si>
  <si>
    <t>Cariños, Puro Corazón por la Primera Infancia</t>
  </si>
  <si>
    <t>Prestadores de servicios de salud que bridan atención de calidad a recién nacidos, aumentadas</t>
  </si>
  <si>
    <t>Fortalecimiento del modelo de atención integral en salud en menores de un año en santiago de cali</t>
  </si>
  <si>
    <t>BP26003404</t>
  </si>
  <si>
    <t>Secretaría de Salud Pública/Subsecretaría de Promoción, Prevención y Producción Social de la Salud.</t>
  </si>
  <si>
    <t>BP2600340410101</t>
  </si>
  <si>
    <t>Instituciones prestadoras de
salud, con asistencia técnica
recibida en la jurisdicción</t>
  </si>
  <si>
    <t>Brindar servicio de asistencia técnica a 20 instituciones prestadoras de Servicio de salud</t>
  </si>
  <si>
    <t>Instituciones Prestadoras de Salud con asistencia técnica recibida en la Jurisdicción</t>
  </si>
  <si>
    <t>BP2600340410201</t>
  </si>
  <si>
    <t xml:space="preserve">Realizar acompañamiemto a 1000 personas del sistema en  educación informal en temas de salud pública y prestación de servicios en la primera infancia </t>
  </si>
  <si>
    <t>Se realizo  acompañamiento a 8 actores del sistema en temáticas relacionadas con la atención en salud en la primera infancia y se avanza en la planeacion para la capacitacion de personas en temas de salud publica y prestacion de servicios</t>
  </si>
  <si>
    <t>Promoción, Prevención y Garantías de los Derechos de los Niños, Niñas, Adolescentes y Familias</t>
  </si>
  <si>
    <t xml:space="preserve">Dosis de vacuna del programa ampliado de inmunizaciones aplicadas </t>
  </si>
  <si>
    <t>Fortalecimiento de la estrategia de vacunación de santiago de cali</t>
  </si>
  <si>
    <t>BP26003296</t>
  </si>
  <si>
    <t>BP2600329610101</t>
  </si>
  <si>
    <t>Dosis de vacuna del Programa Ampliado de
Inmunizaciones aplicadas</t>
  </si>
  <si>
    <t xml:space="preserve">Distribuir 820487 biológicos, biosimilares y medicamentos de síntesis de interés en salud pública </t>
  </si>
  <si>
    <t>Unidades suministradas</t>
  </si>
  <si>
    <t>Se efectuó la distribución de 158.822 biológicos y 124.736 cantidad de insumos y 146.025‬ que entran a la CAVA del programa a IPS vacunadoras. Total de vacunas aplicadas 160.180.</t>
  </si>
  <si>
    <t>BP2600329610102</t>
  </si>
  <si>
    <t>Realizar asistencia técnica en 150 entidades en el fortalecimiento de capacidades básicas y técnicas en salud</t>
  </si>
  <si>
    <t>Entidades fortalecidas en capacidades básicas y técnicas en salud</t>
  </si>
  <si>
    <t>Se realizó asistencia técnica en 46 entidades en el fortalecimiento de capacidades básicas y técnicas en salud, respecto a los componentes del programa PAI.</t>
  </si>
  <si>
    <t>BP2600329610103</t>
  </si>
  <si>
    <t xml:space="preserve">Realizar 50 campañas de gestión del riesgo en enfermedades inmunoprevenibles </t>
  </si>
  <si>
    <t>Campañas de gestión del riesgo para enfermedades inmunoprevenibles  implementadas</t>
  </si>
  <si>
    <t>Se ha realizado 10 campañas de gestion de riesgo en enfermedades inmunoprevenibles a traves de estrategias y jornadas de vacunacion</t>
  </si>
  <si>
    <t>BP2600329610104</t>
  </si>
  <si>
    <t xml:space="preserve">Documentar 12 campañas de  de divulgación y comunicación de estrategias de salud y promoción social </t>
  </si>
  <si>
    <t>Campañas de promoción y prevención producidas</t>
  </si>
  <si>
    <t>BP2600329610105</t>
  </si>
  <si>
    <t>Elaborar 12 documentos de lineamientos técnicos</t>
  </si>
  <si>
    <t>Documentos lineamientos técnicos elaborados</t>
  </si>
  <si>
    <t>Se documento el comportamientos estadístico de movimiento de biológicos y coberturas del programa, generando tres documentos.</t>
  </si>
  <si>
    <t>BP2600329610201</t>
  </si>
  <si>
    <t>Efectuar 12 publicaciones de los hallazgos, conclusiones y análisis de los resultados de monitoreo y evaluación anual.</t>
  </si>
  <si>
    <t>Publicaciones efectivamente presentadas anualmente en el distrito con los hallazgos, conclusiones  y análisis de los resultados de monitoreo y evaluación.</t>
  </si>
  <si>
    <t>Se inició con las acciones previas requeridas para la documentación del proceso de monitoreos, efectuando en terreno el diligenciamiento del registro de monitoreo rápidos de coberturas de vacunación en población intervenida, así mismo, efectuando el registro de monitoreo rápido de vacunación en herramienta ofimática</t>
  </si>
  <si>
    <t>Cali Distrito Joven: Conectados con la Ciudadanía Juvenil</t>
  </si>
  <si>
    <t xml:space="preserve">Jóvenes multiplicadores de derechos sexuales y reproductivos certificados con enfoque diferencial </t>
  </si>
  <si>
    <t>Fortalecimiento a la promoción de los derechos sexuales y reproductivos de los adolescentes y jóvenes en el Distrito de Santiago de Cali</t>
  </si>
  <si>
    <t>BP26004680</t>
  </si>
  <si>
    <t>BP2600468010101</t>
  </si>
  <si>
    <t>Servicio de educación informal en temas deb salud pública</t>
  </si>
  <si>
    <t xml:space="preserve">Capacitar 1000 adolescentes, jóvenes y su comunidad en derechos sexuales y reproductivos. </t>
  </si>
  <si>
    <t>BP2600468010201</t>
  </si>
  <si>
    <t>Realizar 50 asistencias técnicas a los adolescentes y jóvenes, en la ruta de promocion y mantenimiento de la salud enmarcado en los diferentes entornos.</t>
  </si>
  <si>
    <t xml:space="preserve">Asistencias técnicas realizadas </t>
  </si>
  <si>
    <t>Se adelanta el proceso de elaboración del cronograma de planificación de las asistencias técnicas y se realizó 2 asistencias técnicas a las EAPB en los temas de la ruta de promoción de los derechos sexuales y reproductivos a los adolescentes y jóvenes en el mantenimiento de la salud en los diferentes entornos.</t>
  </si>
  <si>
    <t>BP2600468010301</t>
  </si>
  <si>
    <t>Implementar (1) estrategia de promoción de la salud en derechos sexuales y reproductivos en los adolescentes, jóvenes y su comunidad.</t>
  </si>
  <si>
    <t xml:space="preserve"> Estrategias de promoción de la salud implementadas</t>
  </si>
  <si>
    <t>Personas Mayores Envejeciendo  con Bienestar</t>
  </si>
  <si>
    <t>Personas con prácticas para el envejecimiento activo y la cultura positiva de la vejez aumentadas</t>
  </si>
  <si>
    <t xml:space="preserve">Fortalecimiento de prácticas saludables que promuevan el envejecimiento activo y la cultura positiva de la vejez en cali
</t>
  </si>
  <si>
    <t>BP26003036</t>
  </si>
  <si>
    <t>BP2600303610101</t>
  </si>
  <si>
    <t xml:space="preserve">Promocionar en 1000 personas de población vulnerable prácticas que promuevan la cultura positiva de la vejez y el envejecimiento activo </t>
  </si>
  <si>
    <t xml:space="preserve">Personas atendida en acciones de promoción social para poblaciones vulnerables
</t>
  </si>
  <si>
    <t>BP2600303610102</t>
  </si>
  <si>
    <t xml:space="preserve">Realizar 37 campañas de promoción de modos, condiciones y estilos de vida saludables
 </t>
  </si>
  <si>
    <t xml:space="preserve">Campañas de promoción de modos, condiciones y estilos de vida saludables implementadas
</t>
  </si>
  <si>
    <t>BP2600303610201</t>
  </si>
  <si>
    <t xml:space="preserve">Realizar en 30 entidades de salud, asistencia técnica en el fortalecimiento de capacidades básicas y técnicas en salud 
</t>
  </si>
  <si>
    <t xml:space="preserve">Se realizó la programación de asistencias técnicas integrales para el fortalecimiento de capacidades básicas y técnicas en salud con el grupo de salud pública. Las asistencias técnicas con las instituciones comenzaron el 12 de marzo de 2024, logrando realizar un total de 4 asistencias técnicas. </t>
  </si>
  <si>
    <t>BP2600303610202</t>
  </si>
  <si>
    <t xml:space="preserve">Brindar asistencia  técnica a 60 Centros de protección social  con el adulto mayor </t>
  </si>
  <si>
    <t xml:space="preserve">Centros de protección social para el adulto mayor adecuados
</t>
  </si>
  <si>
    <t>Se recopila información y se elabora programación de la técnica Centros de Protección Social para el Adulto Mayor. En este proceso, se toma como línea de base los hogares que ya tienen resolución con el objetivo de brindar un acompañamiento y verificación de la prestación del servicio integral.</t>
  </si>
  <si>
    <t>Personas  con discapacidad y con enfermedades huerfanas intervenidas con la Estrategia de Rehabilitación Basada en la Comunidad -RBC- aumentadas</t>
  </si>
  <si>
    <t>Fortalecimiento de la atención integral en salud para las personas con discapacidad y personas con enfermedades huerfanas desde la estrategia de rehabilitación basada en la comunidad, en  cali</t>
  </si>
  <si>
    <t>BP26003410</t>
  </si>
  <si>
    <t>15/01/2024</t>
  </si>
  <si>
    <t>31/12/2024</t>
  </si>
  <si>
    <t>BP2600341010101</t>
  </si>
  <si>
    <t xml:space="preserve">Brindar asistencia técnica a 45  instituciones prestadoras de Servicio de salud </t>
  </si>
  <si>
    <t xml:space="preserve">Instituciones Prestadoras de Salud con asistencia técnica recibida en la Jurisdicción </t>
  </si>
  <si>
    <t>Se elabora un plan de trabajo para dar seguimiento a la política de discapacidad y se establece un cronograma de asistencias técnicas.</t>
  </si>
  <si>
    <t>BP2600341010102</t>
  </si>
  <si>
    <t xml:space="preserve">Brindar asistencia técnica institucional a 40 actores del sector salud </t>
  </si>
  <si>
    <t>Entidades territoriales Empresas Prestadoras de Salud, Instituciones Prestadores de Servicio de Salud y Empresas Sociales del Estado  apoyadas técnicamente</t>
  </si>
  <si>
    <t xml:space="preserve">Se realiza asistencia ténica a la EAPB Emssanar y se participó del espacio de veeduria ciudana a la EPAB Suramericana S.A. para la prestación de servicios a la población con autismo. </t>
  </si>
  <si>
    <t>BP2600341010201</t>
  </si>
  <si>
    <t xml:space="preserve">Servicio de promoción social para poblaciones vulnerables </t>
  </si>
  <si>
    <t xml:space="preserve">Atender a 1900 personas con servicio de promoción social en  poblaciones vulnerables </t>
  </si>
  <si>
    <t>Personas atendida en acciones de promoción social  para poblaciones vulnerables</t>
  </si>
  <si>
    <t>Se lleva a cabo la validación de documentos para el proceso de certificación de discapacidad, de acuerdo con lo establecido en la Resolución 1239 de 2022. Además, se prosigue con la valoración clínica multidisciplinaria para las Personas con Discapacidad (PcD) a través de la Red pública contratada. En total, se han realizado 524 valoraciones clínicas durante la vigencia 2024, con corte al 30 de marzo.</t>
  </si>
  <si>
    <t>BP2600341010202</t>
  </si>
  <si>
    <t xml:space="preserve">Capacitar 200 personas en  temas de salud pública y prestación de servicios </t>
  </si>
  <si>
    <t xml:space="preserve">Personas capacitadas </t>
  </si>
  <si>
    <t>Se lleva a cabo un encuentro de diálogo participativo denominado “Café y Tequeño”, dirigido específicamente a la población migrante. El objetivo principal de este evento es contribuir a la construcción del plan territorial de salud.
Se ofrece atención a la población vulnerable y se difunde la oferta institucional para garantizar su acceso y participación.</t>
  </si>
  <si>
    <t>BP2600341010301</t>
  </si>
  <si>
    <t xml:space="preserve">Implementar 5 campañas de promoción en temas de salud mental y convivencia </t>
  </si>
  <si>
    <t xml:space="preserve">Campañas de promoción en temas de salud mental y convivencia implementadas </t>
  </si>
  <si>
    <t>BP2600341010302</t>
  </si>
  <si>
    <t>Brindar asistencia técnica comunitaria a 15 organizaciones de personas con discapacidad</t>
  </si>
  <si>
    <t>Organizaciones de base apoyadas técnicamente</t>
  </si>
  <si>
    <t>CaliAfro</t>
  </si>
  <si>
    <t>Componente de fortalecimiento en salud propia, del modelo intercultural de cuidado en salud en población afrodescendiente, implementado</t>
  </si>
  <si>
    <t>Fortalecimiento de los sistemas propios de salud en población negra, afrodescendiente, raizal y palenquera de Cali</t>
  </si>
  <si>
    <t>BP26003338</t>
  </si>
  <si>
    <t>BP2600333810101</t>
  </si>
  <si>
    <t xml:space="preserve">Modelo intercultural de población afro en organizaciones de base,  fortalecidas y apoyadas técnicamente </t>
  </si>
  <si>
    <t>Apoyar técnicamente 5 organizaciones comunitarías afrodescendientes en la fases del modelo</t>
  </si>
  <si>
    <t xml:space="preserve">Organizaciones de base apoyadas técnicamente </t>
  </si>
  <si>
    <t>BP2600333810201</t>
  </si>
  <si>
    <t xml:space="preserve"> Implementar 4 campañas de promoción de modos, condiciones y estilos de vida saludables</t>
  </si>
  <si>
    <t xml:space="preserve">Campañas de promoción de modos, condiciones y estilos de vida saludables implementadas </t>
  </si>
  <si>
    <t>Tejiendo Identidad, para el Buen Vivir de la Población y Comunidades Indígenas</t>
  </si>
  <si>
    <t>Componente de fortalecimiento en salud propia, del modelo intercultural de cuidado en salud en población indígena, implementado</t>
  </si>
  <si>
    <t>Fortalecimiento de los saberes ancestrales culturales y espirituales de la salud propia de los cabildos indígenas de cali</t>
  </si>
  <si>
    <t>BP26003387</t>
  </si>
  <si>
    <t>BP2600338710101</t>
  </si>
  <si>
    <t xml:space="preserve"> Componente en salud propia de Organizaciones Indígenas implementado</t>
  </si>
  <si>
    <t xml:space="preserve">Apoyar tecnicamente a 9 organizaciones indigenas de base </t>
  </si>
  <si>
    <t>BP2600338710102</t>
  </si>
  <si>
    <t xml:space="preserve">Capacitar 150 personas  en temas de salud pública y prestación de servicios </t>
  </si>
  <si>
    <t>BP2600338710201</t>
  </si>
  <si>
    <t>Implementar 9 campañas de promoción de vida saludable y condiciones no transmisibles</t>
  </si>
  <si>
    <t>Campañas de promoción de vida saludable y condiciones no transmisibles implementadas</t>
  </si>
  <si>
    <t>Salud Pública Integral, Una Realidad en los Entornos de Vida Cotidianos</t>
  </si>
  <si>
    <t>Personas en sufrimiento psíquico y social incluidas en el modelo comunitario en Salud Mental</t>
  </si>
  <si>
    <t>Fortalecimiento de la salud mental en el marco del modelo comunitario en santiago de cali</t>
  </si>
  <si>
    <t>BP26003087</t>
  </si>
  <si>
    <t>BP2600308710101</t>
  </si>
  <si>
    <t>Capacitar 300 personas temas de salud mental y convivencia</t>
  </si>
  <si>
    <t>BP2600308710201</t>
  </si>
  <si>
    <t>Se Realizó proceso de planificacion y construccion de cronogramas para el proceso contractual con las E.S.E de las campañas de promocion en temas de salud mental y convivencia.</t>
  </si>
  <si>
    <t>BP2600308710301</t>
  </si>
  <si>
    <t>Personas incluidas en el modelo comunitario de salud mental</t>
  </si>
  <si>
    <t>Brindar a 1000 personas servicio de promoción de la participación social en materia de salud y de seguridad social en salud</t>
  </si>
  <si>
    <t>Se realizó proceso contractual con la E.S.E Centro para la operativizacion de la Linea 106 para la teleorientacion  de las personas en el marco del modelo comunitario de salud mental y la garantia de sus derechos.</t>
  </si>
  <si>
    <t>Empresas y grupos de trabajo informal de los sectores económicos en Santiago de Cali,  monitoreados y vigilados frente al cumplimiento de condiciones de seguridad y salud en el trabajo.</t>
  </si>
  <si>
    <t>Fortalecimiento   de las condiciones de seguridad y salud en el trabajo en empresas, grupos organizados de trabajo informal y poblacion trabajadora en santiago de cali.</t>
  </si>
  <si>
    <t>BP26002791</t>
  </si>
  <si>
    <t>BP2600279110101</t>
  </si>
  <si>
    <t>Promoción de la salud y la prevención del riesgo ocupacional en el trabajo fortalecida</t>
  </si>
  <si>
    <t xml:space="preserve">Implementar en 6.500 ambientes laborales capañas de promoción en temas seguridad y salud en el trabajo </t>
  </si>
  <si>
    <t>Campañas de promoción en temas seguridad y salud en el trabajo implementadas</t>
  </si>
  <si>
    <t>Se realizó  acompañamiento y sensibilización en  la promoción de la salud y prevención del riesgo ocupacional para la generación de entornos laborales seguros y saludables a 98 unidades productivas.</t>
  </si>
  <si>
    <t>BP2600279110102</t>
  </si>
  <si>
    <t>Elaborar 1 documentos de lineamientos
técnicos</t>
  </si>
  <si>
    <t>Se continuó en el ejercicio de análisis de caracterización como de capacitación de población trabajadora informall intervenida, con avance del 25%</t>
  </si>
  <si>
    <t>BP2600279110201</t>
  </si>
  <si>
    <t>Capacitar a 7.000 personas en temas de salud pública y prestación de servicios</t>
  </si>
  <si>
    <t xml:space="preserve">Se capacitó a 1012 trabajadores, 133 trabajadores del sector Informal y 879 del sector formal de la Economia. </t>
  </si>
  <si>
    <t>BP2600279110301</t>
  </si>
  <si>
    <t>Elaborar 2 documentos de documentos legales  y normativos</t>
  </si>
  <si>
    <t>Documentos legales y actos administrativos</t>
  </si>
  <si>
    <t>Se avanza en uno de los documentos, que corresponde a la implementación de trabajo digno y decente a partir de la intervención realizada con el sector informal de la economía. Este avance a corresponde al 14%.</t>
  </si>
  <si>
    <t>Programa de Promoción y Atención Integral a la Malnutrición implementado en las instituciones</t>
  </si>
  <si>
    <t>Fortalecimiento de la seguridad alimentaria y nutricional en Cali</t>
  </si>
  <si>
    <t>BP26003055</t>
  </si>
  <si>
    <t>BP2600305510101</t>
  </si>
  <si>
    <r>
      <t xml:space="preserve">Programa de atención integral a la malnutrición en </t>
    </r>
    <r>
      <rPr>
        <sz val="9"/>
        <color indexed="8"/>
        <rFont val="Arial Narrow"/>
        <family val="2"/>
      </rPr>
      <t>instituciones implementado</t>
    </r>
  </si>
  <si>
    <t>Implementar 220 campañas de gestión del riesgo para temas de consumo y aprovechamiento biológico de los alimentos, calidad e inocuidad de los alimentos</t>
  </si>
  <si>
    <t>Campañas de gestión del riesgo para temas de consumo y aprovechamiento biológico de los alimentos, calidad e inocuidad de los alimentos implementadas</t>
  </si>
  <si>
    <t>Se avanza en el proceso de planificacion para realizar campañas de gestión del riesgo para temas de consumo y aprovechamiento biológico de los alimentos, calidad e inocuidad de los alimentos implementadas</t>
  </si>
  <si>
    <t>BP2600305510201</t>
  </si>
  <si>
    <t xml:space="preserve">Implementar 31 campañas de promoción en temas de disponibilidad y acceso a los alimentos, consumo y aprovechamiento biológico de los alimentos  </t>
  </si>
  <si>
    <t>Campañas de promoción en temas de disponibilidad y acceso a los alimentos, consumo y aprovechamiento biológico de los alimentos implementadas</t>
  </si>
  <si>
    <t>Se realizaron 5 campañas de promoción en temas de disponibilidad y acceso a los alimentos, consumo y aprovechamiento biológico de los alimentos, en 19 Instituciones de Salud: 1 EAPB, 3 IPS y 1 ESE.</t>
  </si>
  <si>
    <t>Modelo Integral de Salud Sexual y Reproductiva, implementado</t>
  </si>
  <si>
    <t>Fortalecimiento del ejercicio de los derechos sexuales y reproductivos de la población adulta de Santiago de Cali</t>
  </si>
  <si>
    <t>BP26003171</t>
  </si>
  <si>
    <t>BP2600317110101</t>
  </si>
  <si>
    <t>Implementar 2 campañas de promoción de los derechos sexuales y reproductivos y la equidad de género</t>
  </si>
  <si>
    <t>Campañas de promoción de los derechos sexuales y reproductivos y la equidad de género implementadas</t>
  </si>
  <si>
    <t>Se avanza en el proceso de contratacion del PIC con las ESE, proceso a traves del cual se dará alcance a las campañas de promocion de los derechos sexuales y reproductivos.</t>
  </si>
  <si>
    <t>BP2600317110201</t>
  </si>
  <si>
    <t xml:space="preserve">Capacitar 100 actores sociales en temas de salud sexual y reproductiva y prestación de servicios </t>
  </si>
  <si>
    <t xml:space="preserve">Se realizó capacitación a 15 actores sociales en temas de salud sexual y reproductiva y prestación de servicios,a referentes de EPS e IPS. </t>
  </si>
  <si>
    <t>BP2600317110301</t>
  </si>
  <si>
    <t xml:space="preserve">Instituciones Prestadoras de Salud de la Jurisdicción con asistencia técnica recibida y  modelo implementado </t>
  </si>
  <si>
    <t xml:space="preserve">Implementar el modelo brindando asistencia técnica a 12 instituciones prestadoras de Servicio de salud </t>
  </si>
  <si>
    <t>Entidades de los entornos de vida cotidiana con prácticas de vida saludable que prevengan la mortalidad temprana por hipertensión, diabetes y cáncer, implementados</t>
  </si>
  <si>
    <t>Mejoramiento de prácticas de vida saludable en entornos cotidianos de santiago de cali</t>
  </si>
  <si>
    <t>BP26003409</t>
  </si>
  <si>
    <t>BP2600340910101</t>
  </si>
  <si>
    <t>Entidades de los Entornos de vida cotidiana con prácticas de vida saludable que prevengan la mortalidad temprana por hipertensión, diabetes y cáncer, implementados.</t>
  </si>
  <si>
    <t>Realizar a 129 actores sectoriales asistencia técnica en el fortalecimiento de capacidades básicas y técnicas en salud</t>
  </si>
  <si>
    <t xml:space="preserve">En total se intervinieron por estilos de vida y cáncer (5) EAPB, (1) IPS Y (5)ESES, entidades fortalecidas técnicamente en capacidades básicas y técnicas en salud, (Emsanar, IPS Comfandi Alameda, Isaías Duarte C., Carlos Holmes Trujillo). </t>
  </si>
  <si>
    <t>BP2600340910201</t>
  </si>
  <si>
    <t>Brindar a 40 organizaciones de base servicio de asistencia técnica comunitaria</t>
  </si>
  <si>
    <t>Estilos de Vida Saludable saludable realizó acompañamiento para la promoción y adopción de estilos de vida saludable a siete (7) organizaciones de base comunitaria (juntas de acción comunal, juntas administradoras Local, liga de usuarios), en las Comunas 6, 16, 18, 20, 21 y el corregimiento de Felidia.</t>
  </si>
  <si>
    <t>BP2600340910301</t>
  </si>
  <si>
    <t>Implementar  campañas de servicio de promoción de modos, condiciones y estilos de vida saludables en 902 entidades de los entornos</t>
  </si>
  <si>
    <t>Campañas de promoción de modos, condiciones y estilos de vida saludables implementadas</t>
  </si>
  <si>
    <t xml:space="preserve">En el componente de estilos de vida saludable se atendieron 5 sedes educativas y en 6 instituciones educativas, se impactaron 4 universidades con tamizajes RCB Metabólico. En el componente de salud oral se promocionaron las prácticas de autocuidado de la salud bucal en 29 hogares comunitarios, 6 hogares infantiles, 42 sedes educativas y 15 instituciones educativas, para un total de 107 entidades. 
</t>
  </si>
  <si>
    <t>Personas con Tuberculosis diagnosticadas antes de 30 días a partir de la consulta</t>
  </si>
  <si>
    <t>Fortalecimiento en la detección de tuberculosis y Hansen en Santiago de Cali</t>
  </si>
  <si>
    <t>BP26003300</t>
  </si>
  <si>
    <t>BP2600330010101</t>
  </si>
  <si>
    <t>Personas con Tuberculosis diagnosticadas antes de 30 días a partir de la consulta.</t>
  </si>
  <si>
    <t xml:space="preserve">Brindar a 1000 peronas el servicio de atención en salud a la población  </t>
  </si>
  <si>
    <t>Personas atendidas con servicio de salud</t>
  </si>
  <si>
    <t>Se han diagnosticado 271 personas con Tuberculosis antes de 30 días a partir de la consulta.  Se realizaron actividades de acompañamiento a los diferentes actores en el cumplimiento de indicadores TB según lineamientos del PNT, como las asistencias integrales, técnicas al sistema de información en TB a las IPS, jornadas se sensibilización a la comunidad y jornadas de captación y detección se sintomáticos respiratorios en poblaciones vulnerables (PPL, Habitante de calle).</t>
  </si>
  <si>
    <t>BP2600330010201</t>
  </si>
  <si>
    <t xml:space="preserve">Elaborar 1 documento de lineamientos técnicos </t>
  </si>
  <si>
    <t>El documento técnico tiene un avance del 12,5%, relacionado con la adherencia al tratamiento en personas afectadas por tuberculosis</t>
  </si>
  <si>
    <t>Unidades biológicas (Neumococo 23, Meningococo, DPT acelular, Hepatitis A y B) no incluidas en el esquema nacional gratuito de vacunación a población priorizada por factores de riesgo aplicadas</t>
  </si>
  <si>
    <t>Fortalecimiento de esquemas de vacunación en la población priorizada por factores de riesgo en Santiago de Cali</t>
  </si>
  <si>
    <t>BP26003386</t>
  </si>
  <si>
    <t xml:space="preserve">  </t>
  </si>
  <si>
    <t>BP2600338610101</t>
  </si>
  <si>
    <t>Suministrar 114421 unidades de biológicos, biosimilares y medicamentos de síntesis de interés en salud pública</t>
  </si>
  <si>
    <t>BP2600338610201</t>
  </si>
  <si>
    <t>Implementar 8 campañas  de servicio de gestión del riesgo  de enfermedades inmunoprevenibles</t>
  </si>
  <si>
    <t>BP2600338610301</t>
  </si>
  <si>
    <t>Elaborar 1 documento de divulgación de los hallazgos, conclusiones y análisis de los resultados de monitoreo y evaluación anual</t>
  </si>
  <si>
    <t>Publicaciones efectivamente presentadas anualmente en el distrito con los hallazgos, conclusiones  y análisis de los resultados de monitoreo y evaluación</t>
  </si>
  <si>
    <t>Unidades Primarias Generadoras de Datos -UPGD- funcionando en el Sistema de Vigilancia Epidemiológica</t>
  </si>
  <si>
    <t>Fortalecimiento del proceso de vigilancia en salud publica en el Distrito de Santiago de Cali</t>
  </si>
  <si>
    <t>BP26004151</t>
  </si>
  <si>
    <t>BP2600415110101</t>
  </si>
  <si>
    <t>Unidades Primarias Generadoras de Datos -UPGD- funcionando en el Sistema de Vigilancia Epidemiológica.</t>
  </si>
  <si>
    <t>Generar 175 informes de eventos de servicio de información de vigilancia epidemiológica</t>
  </si>
  <si>
    <t>Informes de eventos generados en la vigencia</t>
  </si>
  <si>
    <t>Se realizaron 10 informes de valoración del sistema de información por Unidad Primaria Generadora de Datos en SIVIGILA con corte al mes de marzo para los Eventos de Interes en Salud Pública - EISP.</t>
  </si>
  <si>
    <t>BP2600415110201</t>
  </si>
  <si>
    <t>Publicar y/o socializar 192 documentos de lineamientos técnicos de los eventos de interes en Salud Pública y analisis de la situación de salud  de la poblacion</t>
  </si>
  <si>
    <t>Documentos técnicos publicados y/o socializados</t>
  </si>
  <si>
    <t>Se generaron los documentos programados para el periodo: boletines epidemiológicos de los eventos de interés en salud publica, perfil epidemiológico de los EISP socializados en COVE. Acumulados al mes de marzo, 28 documentos.</t>
  </si>
  <si>
    <t>BP2600415110301</t>
  </si>
  <si>
    <t>Realizar 185 asistencias técnicas frente a los lineamientos del sistema de vigilancia en Salud Pública</t>
  </si>
  <si>
    <t>Asistencias tecnicas realizadas</t>
  </si>
  <si>
    <t>Se realizó 7  asistencias técnicas, a las diferentes unidades primarias generadoras de datos (UPGD): que requirieron en la aplicación del protocolo, lineamientos del sistema de información y con relación a los EISP así:  Infecciones asociadas a la atención en salud, Sarampion, Paralisis Flacida. Con Corte a Marzo 2024</t>
  </si>
  <si>
    <t>Rutas Integrales de Atención para poblaciones en riesgo en el marco del MAITE implementadas</t>
  </si>
  <si>
    <t>Implementación de Rutas integrales de atención en salud en el marco del Modelo de Acción Integral Territorial -MAITE- en Santiago de Cali</t>
  </si>
  <si>
    <t>BP26002794</t>
  </si>
  <si>
    <t>BP2600279410101</t>
  </si>
  <si>
    <t>Elaborar 1 documento de lineamientos técnicos</t>
  </si>
  <si>
    <t>Estudio previo actualizado dentro del marco normativo, y elaboración y estructuración de la minuta contractual de las acciones colectivas del PIC</t>
  </si>
  <si>
    <t>BP2600279410201</t>
  </si>
  <si>
    <t>Brindar Servicio de asistencia técnica a 17 instituciones prestadoras de Servicio de salud</t>
  </si>
  <si>
    <t>Se realizaron 2 asistencias técnicas a IPS H. Joaquín Paz Borrero y H. Primitivo Iglesias, realizando seguimiento a las recomendaciones de adherencia a las intervenciones por curso de vida socializadas en 2022 e implementación de las intervenciones en progresividad; Ruta de Atención Integral para la Promoción y Mantenimiento de la Salud RIAPMS Res. 3280/18, Res. 276/19.</t>
  </si>
  <si>
    <t>BP2600279410301</t>
  </si>
  <si>
    <t>Brindar 1 Servicio de información actualizado</t>
  </si>
  <si>
    <t xml:space="preserve">Líderes comunitarios con capacidades para la exigibilidad del derecho a la salud certificados </t>
  </si>
  <si>
    <t>Fortalecimiento de capacidades en participación social en salud en Santigo de Cali.</t>
  </si>
  <si>
    <t>BP26002761</t>
  </si>
  <si>
    <t>Secretaría de Salud Pública/Subsecretaria de Protección de la Salud y Prestación de Servicios</t>
  </si>
  <si>
    <t>BP2600276110101</t>
  </si>
  <si>
    <t>Brindar a 5 entidades servicio de asistencia técnica institucional</t>
  </si>
  <si>
    <t>Entidades territoriales Empresas Prestadoras de Salud, Instituciones Prestadores de Servicio de Salud y Empresas Sociales del Estado apoyadas técnicamente</t>
  </si>
  <si>
    <t xml:space="preserve">Se realizaron 5 asesorías a IPS Vitalia, Fundación Ideal, Clínica Cristo Rey y ESE Oriente; 3 acompañamientos a la ESE oriente, Escuela Nacional del Deporte y 1 capacitación a la ESE Oriente. </t>
  </si>
  <si>
    <t>BP2600276110201</t>
  </si>
  <si>
    <t>Líderes comunitarios con
capacidades para la exigibilidad del derecho a la salud certificados</t>
  </si>
  <si>
    <t>Capacitar 700 personas en temas de salud pública y prestación de servicios</t>
  </si>
  <si>
    <t xml:space="preserve">Se realizó actualización de los directorios de las 22 comunas y 15 corregimientos de Cali, se realizó la certificación de  40 lideres en participación social. </t>
  </si>
  <si>
    <t>BP2600276110202</t>
  </si>
  <si>
    <t>Brindar a 5 actores comunitarios servicio de promoción de la participación social en materia de salud y de seguridad social en salud</t>
  </si>
  <si>
    <t>0.2%</t>
  </si>
  <si>
    <t xml:space="preserve">Se realizo reunión con el grupo veedor veersalud para el seguimiento de la Política de salud mental. </t>
  </si>
  <si>
    <t>Laboratorio de Vigilancia Epidemiologica, Investigación y Autoridad Sanitaria implementado</t>
  </si>
  <si>
    <t>Implementación de un Laboratorio de Investigación en Salud Pública en Cali</t>
  </si>
  <si>
    <t>BP26003517</t>
  </si>
  <si>
    <t>Secretaría de Salud Pública/Unidad de Apoyo a la Gestión</t>
  </si>
  <si>
    <t>BP2600351710101</t>
  </si>
  <si>
    <t xml:space="preserve">Acciones de investigación en salud pública fortalecidas. </t>
  </si>
  <si>
    <t xml:space="preserve">Elaborar un documento de diseño técnico de operación del laboratorio de investigación en salud pública </t>
  </si>
  <si>
    <t>Documentos de planeación de Ciencia y Tecnología elaborados</t>
  </si>
  <si>
    <t>Durante el mes de marzo se participó en el conversatorio de Amazon Web Services. DigiGov: Alcaldía Cali-Transformación de gobiernos a través de la inteligencia artificial, propuesta encaminada al fortalecimiento del laboratorio de investigación de salud pública.</t>
  </si>
  <si>
    <t>BP2600351710201</t>
  </si>
  <si>
    <t>Entregar 1 documento de investigación de consolidación de los procesos de integración de los resultados de investigación</t>
  </si>
  <si>
    <t>Libros y/o capítulos de libros resultados de investigación</t>
  </si>
  <si>
    <t>En este periodo se fortaleció la alianza con el sector académico; se recepcionaron 3 proyectos de investigación con el objetivo de promover mejores prácticas e incidir en la toma de decisiones en salud.</t>
  </si>
  <si>
    <t>BP2600351710301</t>
  </si>
  <si>
    <t>Publicar 1 artículo en metodología de investigación en Salud Pública</t>
  </si>
  <si>
    <t>Artículos publicados en revistas indexadas nacionales e internacionales</t>
  </si>
  <si>
    <t>Personas en situación y en riesgo de consumo de sustancias psicoactivas, intervenidas</t>
  </si>
  <si>
    <t>Fortalecimiento de la capacidad de respuesta en el abordaje y el riesgo del consumo de sustancias psicoactivas en cali</t>
  </si>
  <si>
    <t>BP26002866</t>
  </si>
  <si>
    <t>BP2600286610101</t>
  </si>
  <si>
    <t>Personas intervenidas en situación y en
riesgo de consumo de sustancias
psicoactivas</t>
  </si>
  <si>
    <t xml:space="preserve">Brindar a 1200 personas el  Servicio de promoción de la participación social en materia de salud y de seguridad social en salud </t>
  </si>
  <si>
    <t>BP2600286610201</t>
  </si>
  <si>
    <t>Brindar atenciòn a 500 personas en temas relacionados con atención a la población</t>
  </si>
  <si>
    <t>Entidades de salud con atención integral de VIH/SIDA/Hepatitis B y C, y el enfoque diferencial y de género en la prestación de servicios de salud implementada.</t>
  </si>
  <si>
    <t>Implementación de la atención integral del VIH/SIDA Y Hepatitis B y C con enfoque diferencial y de genero en entidades de salud en Santiago de Cali</t>
  </si>
  <si>
    <t>BP26003408</t>
  </si>
  <si>
    <t>BP2600340810101</t>
  </si>
  <si>
    <t>Elaborar 1 documento de lineamientos técnicos con la caracterización de la población relacionada con VIH/SIDA/Hepatitis B y C</t>
  </si>
  <si>
    <t>Se avanzo en la elaboracion del documento tecnico, con la creacion del informe preliminar de Situación de personas que viven con VIH según informacion recolectada en el 2023.</t>
  </si>
  <si>
    <t>BP2600340810201</t>
  </si>
  <si>
    <t>Brindar servicio de asistencia técnica a 5 instituciones prestadoras de Servicio de salud en la identificación sistemática de casos, contactos y convivientes en riesgo de VIH/SIDA/Hepatitis B y C</t>
  </si>
  <si>
    <t xml:space="preserve">Se dio continuidad a la asistencia tecnica para la identificacion de casos con la primer visita o intervencion al laboratorio del Hospital Isaias Duarte Cancino, Red de salud ESE Norte y Red de salud ESE Centro. </t>
  </si>
  <si>
    <t>BP2600340810301</t>
  </si>
  <si>
    <t>Brindar asistencia técnica institucional  a 5 actores del Servicio de salud en  el proceso de atención integral del VIH/SIDA centrado en el paciente con enfoque diferencial</t>
  </si>
  <si>
    <t xml:space="preserve">Se da inicio a la asistencia tecnica para la implementacion del modelo en atencion integral de VIH y HB con la primer visita en la Red de salud ESE Norte y Red de salud ESE Centro. </t>
  </si>
  <si>
    <t>BP2600340810401</t>
  </si>
  <si>
    <t xml:space="preserve">Entidades con atencion integral en VIH/SIDA/ Hepatitis B y C </t>
  </si>
  <si>
    <t xml:space="preserve">Brindar  servicio de asistencia técnica en el desarrollo de capacidades en 5 actores del Sistema General de Seguridad Social en Salud, en atención a la Población LGBTIQ+ con Enfoque Diferencial </t>
  </si>
  <si>
    <t xml:space="preserve">Distritos con procesos de Asistencia técnica gestionados para desarrollo de capacidades en los actores del Sistema General de Seguridad Social en Salud </t>
  </si>
  <si>
    <t>Se avanzó con el proceso de asistencia tecnica para el desarrollo de capacidades en actores del sistema de salud en atención a la Población LGBTIQ+ con Enfoque Diferencial a la EAPB SOS generando lineamientos técnicos y se da inicio al proceso con la EPS EMSSANAR.</t>
  </si>
  <si>
    <t xml:space="preserve">Ruta de promoción y mantenimiento de la salud en el entorno educativo, implementado </t>
  </si>
  <si>
    <t>Fortalecimiento  de la promoción y mantenimiento de la salud en los cursos de vida de infancia, adolescencia y juventud en Santiago de Cali</t>
  </si>
  <si>
    <t>BP26003714</t>
  </si>
  <si>
    <t>BP2600371410101</t>
  </si>
  <si>
    <t>Número de instituciones con intervenciones en el Fortalecimiento en la promoción y mantenimiento de la salud en los cursos de vida de infancia, adolescencia y juventud a través de la Ruta de promoción y mantenimiento de la salud.</t>
  </si>
  <si>
    <t>Implementar la ruta mediante 6387 campañas de gestión del riesgo para abordar condiciones crónicas y prevalentes en infancia, adolescencia y juventud de 493 instituciones educativas</t>
  </si>
  <si>
    <t>Campañas de gestión del riesgo para abordar condiciones crónicas prevalentes implementadas</t>
  </si>
  <si>
    <t>Se realizaron 229 tamizajes para la identificacion del riesgo psicosocial y fonoaudiologico, en 11 Instituciones del entorno educativo; para un total de 229 campañas realizadas.</t>
  </si>
  <si>
    <t>BP2600371410201</t>
  </si>
  <si>
    <t>Realizar 493 campañas de promoción de la salud y prevención de riesgos asociados a condiciones no transmisibles en los cursos de vida infancia, adolescencia y juventud en los entornos de vida cotidiana.</t>
  </si>
  <si>
    <t>Campañas de promoción de la salud y prevención de riesgos asociados a condiciones no transmisibles implementadas</t>
  </si>
  <si>
    <t>Se realizaron 11 campañas de Promocion de la salud y prevencion de la enfermedad, a traves de desparaasitacion intestinal con 1594 dosis suministradas a escolares, capacitación en tematicas de interes en salud pública, en 11 Instituciones del entorno educativo.</t>
  </si>
  <si>
    <t>BP2600371410301</t>
  </si>
  <si>
    <t>Capacitar a 1300 personas en temas de salud publica de los cursos de vida  de infancia, adolescencia y juventud de 493 instituciones educativas.</t>
  </si>
  <si>
    <t>Se realizó en 12 Instituciones del entorno educativo proceso de capacitación a 90 representantes de la comunidad educativa como gestores de cambio para el fortalecimiento de la participación social en salud.</t>
  </si>
  <si>
    <t>Servicios de Salud de Calidad en Redes Integrales, Un Desafío para Todos</t>
  </si>
  <si>
    <t xml:space="preserve">Personas identificadas sin seguridad social, afiliadas en salud </t>
  </si>
  <si>
    <t>Fortalecimiento de la gestión del aseguramiento en salud en santiago de cali</t>
  </si>
  <si>
    <t>BP26002938</t>
  </si>
  <si>
    <t>BP2600293810101</t>
  </si>
  <si>
    <t>Personas identificadas sin
seguridad social, afiliadas en salud</t>
  </si>
  <si>
    <t>Realizar a 7027 personas el proceso de afiliación a través del Servicio de identificación y selección de beneficiarios del régimen subsidiado paara una cobertura del 80%</t>
  </si>
  <si>
    <t>Personas pobres y vulnerables en la jurisdicción identificada con selección de beneficiarios del Régimen Subsidiado</t>
  </si>
  <si>
    <t>Se realizo la afiliación de 98 personas pobres y vulnerables en la jurisdicción identificada con selección de beneficiarios del Régimen Subsidiado que sumadas a las 6.613 de la vigencia 2023 se llega a un total de 6.711 usuarios que deben permanecer afiliados al sistema de salud.</t>
  </si>
  <si>
    <t>BP2600293810201</t>
  </si>
  <si>
    <t>Brindar en 2 jurisdicciones el Servicio de promoción de afiliaciones al régimen contributivo del Sistema General de Seguridad Social de las personas con capacidad de pago</t>
  </si>
  <si>
    <t>Jurisdicciones con promoción de afiliaciones al régimen Contributivo del Sistema general de Seguridad Social de las personas con capacidad de pago.</t>
  </si>
  <si>
    <t>Se de inicio con la ejecución del programa de promoción de afiliaciones al régimen Contributivo del Sistema general de Seguridad Social</t>
  </si>
  <si>
    <t>BP2600293810301</t>
  </si>
  <si>
    <t>Realizar 12 procesos de liquidación mensual de afiliados al Régimen Subsidiado.</t>
  </si>
  <si>
    <t xml:space="preserve">procesos de Liquidación Mensual de Afiliados ejecutados </t>
  </si>
  <si>
    <t>Se realizo 3 proceso de liquidación mensual de afiliados al Régimen Subsidiado.</t>
  </si>
  <si>
    <t>BP2600293810302</t>
  </si>
  <si>
    <t>Realizar en 1 Distrito el Servicio de supervisión y control del recaudo de los recursos en la afiliación y continuidad al régimen subsidiado</t>
  </si>
  <si>
    <t>Distritos con supervisión y control del recaudo real y efectivo de los recursos propios</t>
  </si>
  <si>
    <t>Se realizo la certificación de recursos del Régimen subsidiado de los meses de enero, febrero y marzo.</t>
  </si>
  <si>
    <t>Población migrante atendida</t>
  </si>
  <si>
    <t>Fortalecimiento de la prestación de los servicios de salud de la población migrante irregular en Santiago de Cali</t>
  </si>
  <si>
    <t>BP26005071</t>
  </si>
  <si>
    <t>BP2600507110101</t>
  </si>
  <si>
    <t>Asistir técnicamente a 10 instituciones prestadoras de servicios de salud</t>
  </si>
  <si>
    <t>Instituciones Prestadoras de Servicios de Salud asistidas técnicamente</t>
  </si>
  <si>
    <t>Se dio inicio a la asistencia técnica en facturación de atención en salud de la población migrante irregular a 9 Instituciones Prestadoras de Servicios de Salud</t>
  </si>
  <si>
    <t>BP2600507110201</t>
  </si>
  <si>
    <t xml:space="preserve">Realizar 124,600 atenciones a población migrante </t>
  </si>
  <si>
    <t>Se realizaron 3.806 atención en salud a la población migrante irregular de Santiago de Cali.</t>
  </si>
  <si>
    <t>Sistema de Garantia de la Calidad en Salud en las IPS con cumplimiento</t>
  </si>
  <si>
    <t>Mejoramiento de la calidad en la prestación de los servicios de salud en la red de prestadores de Santiago de Cali</t>
  </si>
  <si>
    <t>BP26002937</t>
  </si>
  <si>
    <t>BP2600293710101</t>
  </si>
  <si>
    <t>Sistema de Garantía de la
Calidad en Salud en las IPS con cumplimiento</t>
  </si>
  <si>
    <t>Realizar auditorias y visitas inspectivas  a 150  actores (IPS-EPS) del sector</t>
  </si>
  <si>
    <t>Auditorías y visitas inspectivas realizadas</t>
  </si>
  <si>
    <t>Se realizaron 2 vistas de auditoría a las 12 EPS que operan en Santiago de Cali y 16 visitas previas de habilitación, reactivación y certificación en el marco del Sistema Único de Habilitación en cumplimiento de la Resolución 3100 de 2019; completando 18 auditorías y visitas inspectivas a los actores del sistema.</t>
  </si>
  <si>
    <t>BP2600293710201</t>
  </si>
  <si>
    <t>Realizar 2 planes de asistencia técnica en inspección, vigilancia y control a los actores del SGSSS</t>
  </si>
  <si>
    <t xml:space="preserve"> Asistencias técnica en Inspección, Vigilancia y Control realizadas</t>
  </si>
  <si>
    <t>Se realizaron 175 asistencias técnicas a prestadores de servicios de salud en los 7 estándares de la Resolución 3100 de 2019 en el marco del plan de asistencia técnica del SUH.</t>
  </si>
  <si>
    <t>BP2600293710301</t>
  </si>
  <si>
    <t xml:space="preserve">Entregar 1 producto de comunicación y divulgación en inspección, vigilancia y control </t>
  </si>
  <si>
    <t>Productos de comunicación difundidos</t>
  </si>
  <si>
    <t>Usuarios con restitución de derechos en salud por la Autoridad Sanitaria</t>
  </si>
  <si>
    <t>Mejoramiento de la capacidad de gestión de la autoridad sanitaria en la restitución de derechos en Salud a los usuarios en Santiago de Cali</t>
  </si>
  <si>
    <t>BP26003041</t>
  </si>
  <si>
    <t>BP2600304110101</t>
  </si>
  <si>
    <t>Usuarios con restitución de derechos en salud por la Autoridad Sanitaria aumentada</t>
  </si>
  <si>
    <t xml:space="preserve">Atender 26325 personas que  presenten solicitudes relacionadas con el servicio de atencion en salud a la población </t>
  </si>
  <si>
    <t>Personas atendidas con servicio de salud </t>
  </si>
  <si>
    <t xml:space="preserve">En el periodo de enero a marzo de  2024 se recibieron un total de 2936 solicitudes de usuarios por barreras de atención en salud en el SAC, se excluyeron 429 solicitudes por estar en trámite aún dentro de los tiempos legales, en concordancia con la ley estatutaria 1755 de 2015.
Para evaluar la efectividad entonces, se tomaron 2507 solicitudes  que ya cumplieron con el tiempo de ley, sobre los cuales se restituyó en favor del usuario 1657 casos, correspondiendo al 66% de efectividad en la restitucion de derechos en salud. </t>
  </si>
  <si>
    <t>BP2600304110201</t>
  </si>
  <si>
    <t xml:space="preserve">Brindar a 13954 personas la participación social en el ejercicio pleno de sus deberes y derechos en materia de salud y seguridad social en salud. </t>
  </si>
  <si>
    <t>Personas que participan en el ejercicio pleno de sus deberes y derechos en materia de salud y seguridad social en salud.</t>
  </si>
  <si>
    <t>Durante el mes de enero a marzo de 2024 en la ventanilla unica se atendió el 100% de las PQRS que ingresaron,  un total de 3525 radicados los cuales se direccionaron a las áreas correspondientes.</t>
  </si>
  <si>
    <t>Fortalecimiento de la capacidad de gestión de la autoridad sanitaria de Santiago de Cali</t>
  </si>
  <si>
    <t>BP26003389</t>
  </si>
  <si>
    <t>BP2600338910101</t>
  </si>
  <si>
    <t xml:space="preserve">Realizar 8 Documentos de planeación social  y economica    de la  autoridad   sanitaria </t>
  </si>
  <si>
    <t>Se realizaron avances en el seguimiento de los proyectos de inversión con el 1S, y seguimiento al PAA en comité institucional.</t>
  </si>
  <si>
    <t>BP2600338910102</t>
  </si>
  <si>
    <t xml:space="preserve">Realizar 18 Documentos metodológicos de los   sistemas   de  gestion de la  autoridad  sanitaria </t>
  </si>
  <si>
    <t>Documentos metodologicos  realizados</t>
  </si>
  <si>
    <t>Se avanzo en la elaboracuón de los siguientes informes: 
3. Tablero de indicadores de gestión de calidad. Avance del 18% 
4.  Informe Programa de auditoría interna. Avance del 18% 
7. matriz riesgos. Avance del 18% 
8.Modelo de operación por procesos. Avance del 18%
11. Plan de bienestar y formación por autogestión 
12. Monitoreo y seguimiento al Modelo de Gestión del Conocimiento.
13. Matriz de riesgos ocupacionales
14. Informe de visita de ICONTEC. Avance del 18% 
17. Matriz de comunicaciones. Avance del 18%.
18.Matriz de cargos críticos forme de gestión 
Para el mes de marzo se cuenta con el entregable parcial de  los documentos  programados con avances  de acuerdo con el plan de trabajo interno del área de Sistemas Integrados de Gestión, generado así, un cumplimiento del 13% de las actividades propuestas para el mes.</t>
  </si>
  <si>
    <t>BP2600338910201</t>
  </si>
  <si>
    <t>Tramitar 2.000 tutelas en donde se restituya los derechos en salud al menos al 60% con el sistema de gestión documental.</t>
  </si>
  <si>
    <t>Documentos tramitados</t>
  </si>
  <si>
    <t>Para el mes de marzo se radicaron 296 tutelas, con 235 tutelas que si restituyeron derechos en salud y 50 tutelas que no restituyeron derechos a la salud.</t>
  </si>
  <si>
    <t>BP2600338910301</t>
  </si>
  <si>
    <t>Aportar un 20% en el índice de capacidad de los servicios tecnológicos</t>
  </si>
  <si>
    <t>Índice de capacidad en la prestación de servicios de tecnología</t>
  </si>
  <si>
    <t>Se realizaron mantenimientos del ascensor, aires acondiocnados y adecuaciones a oficinas del nivel central</t>
  </si>
  <si>
    <t>BP2600338910303</t>
  </si>
  <si>
    <t>Realizar matenimiento de la infraestructura física de 2 sedes de la autoridad sanitaria.</t>
  </si>
  <si>
    <t>Sedes mantenidas</t>
  </si>
  <si>
    <t>Se continua la planeación de las actividades a desarrollar.</t>
  </si>
  <si>
    <t>Riesgos en salud intervenidos</t>
  </si>
  <si>
    <t>Mejoramiento de la gestión del riesgo por parte de los actores del SGSSS en Santiago de Cali</t>
  </si>
  <si>
    <t>BP26003078</t>
  </si>
  <si>
    <t>BP2600307810101</t>
  </si>
  <si>
    <t>Se interviene el 80% de riesgos en salud identificados en los territorios priorizados a través de la implementación de las campañas de Atención Primaria en Salud -APS-)</t>
  </si>
  <si>
    <t>Se realizo Plan de trabajo de seguimiento a recursos entregados por el Ministerio de salud para la conformación de equipos básicos en salud EBS, se participa en 3 Asistencias técnicas realizadas por el Ministerio de salud, se realizó reunión de articulación con Vigilancia epidemiológica y participación social para definir eventos de interés en salud pública, territorios y microterritorios a intervenir por los EBS, se han realizado 3 mesas de seguimiento con las ESE, 2 reuniones con EPS y ESE para coordinar la gestión del riesgo y seguimiento a casos, y 2 visitas de seguimiento a la ESE Norte y ESE ladera las cuales han realizado caracterización a 15166 familias.</t>
  </si>
  <si>
    <t>Salud Ambiental Territorial</t>
  </si>
  <si>
    <t>Territorios que concentran el mayor riesgo epidemiológico, sanitario, social y ambiental intervenidos integralmente</t>
  </si>
  <si>
    <t>Fortalecimiento de la Gestión en la Promoción de Entornos para la vida en Santiago de Cali</t>
  </si>
  <si>
    <t>BP26002941</t>
  </si>
  <si>
    <t>BP2600294110101</t>
  </si>
  <si>
    <t>Territorios que concentran mayor riesgo
epidemiológico, sanitario, social y ambiental intervenidos integralmente</t>
  </si>
  <si>
    <t>Implementar 7 campañas de  articulación intersectorial y comunitaria en la promoción en temas de hábitat saludable en  7 territorios a intervenir integralmente en los entornos  de vida cotidiana</t>
  </si>
  <si>
    <t>Campañas de promoción en temas de hábitat saludable implementadas</t>
  </si>
  <si>
    <t>Se realizo proceso de priorizacion de territorios objeto de intervencion, de acuerdo a los lineamientos dados desde la subsecretaria, dando un enfoque de fortalecimiento a la estrategia de APS y articulacion intersectorial.</t>
  </si>
  <si>
    <t>BP2600294110201</t>
  </si>
  <si>
    <t>Implementar en 3500 campañas de gestión del riesgo para abordar situaciones de salud relacionadas con condiciones ambientales</t>
  </si>
  <si>
    <t>Campañas de gestión del riesgo para abordar situaciones de salud relacionadas con condiciones ambientales implementadas</t>
  </si>
  <si>
    <t>Se realizo procesos de priorizacion de territorios objeto de intervencion y planeacion estrategica para el desarrollo de las campañas</t>
  </si>
  <si>
    <t>BP2600294110202</t>
  </si>
  <si>
    <t>Capacitar 5950 personas en en temas de salud pública y prestación de servicios</t>
  </si>
  <si>
    <t>BP2600294110203</t>
  </si>
  <si>
    <t>Implementar 35 campañas de promoción de modos, condiciones en entornos para  la  vida y estilos de vida saludables en el  entorno comunitario</t>
  </si>
  <si>
    <t xml:space="preserve">Se realizaron 6 campañas con jornadas de promocion de factores protectores, con enfasis control y prevención en Dengue, en comuna 15 B/ Ciudad Cordoba (2), Llano Verde Comuna 16 B/Marian Ramos, Comuna 20 B/ Belén y Corregimiento de Montebello
</t>
  </si>
  <si>
    <t>BP2600294110301</t>
  </si>
  <si>
    <t xml:space="preserve">Brindar a 6 organizaciones de base asistencia técnica comunitaria con enfoque   de entornos para la vida </t>
  </si>
  <si>
    <t>Se realizó una reunión con Comité Comunitario “Entornos para la Vida” de comunas 11 y 12, revisión de tareas pendientes y se concertación de acciones a intervenir en la vigencia.</t>
  </si>
  <si>
    <t>BP2600294110401</t>
  </si>
  <si>
    <t xml:space="preserve">Actualizar 1 sistema de información en el ejercicio de toma de decisiones.en temas asociados a la promoción de entornos para la vida y de gestión en salud ambiental </t>
  </si>
  <si>
    <t>Implementacion de encuentros comunitarios en la promocion de entornos para la vida y estilos de vida saludables en la comuna 21 de santiago de cali</t>
  </si>
  <si>
    <t>BP26003326</t>
  </si>
  <si>
    <t>BP2600332610101</t>
  </si>
  <si>
    <t>Territorio intervenido integralmente  en temas de habitat saludable, entornos para la vida y estilos  de vida saludable.</t>
  </si>
  <si>
    <t>Implementar 3 campañas de promoción en temas de hábitat saludable, entornos para la vida y estilos de vida saludables en 1 territorio intervenido (comuna 21)</t>
  </si>
  <si>
    <t>Estrategia de Gestión Integral - EGI de ETV, implementada</t>
  </si>
  <si>
    <t>Mejoramiento de la gestión en la prevención y vigilancia de insectos vectores de enfermedades en Santiago de Cali</t>
  </si>
  <si>
    <t>BP26003060</t>
  </si>
  <si>
    <t>BP2600306010101</t>
  </si>
  <si>
    <t xml:space="preserve">Implementar 14 campañas de prevención y control del vector transmisor de las ETV en 14 sectores priorizados </t>
  </si>
  <si>
    <t>Implementación de la Estrategia Educativa para la prevención de dengue (Enfoque de Ecosalud) en 7 territorios priorizados: Terrón Colorado, Alfonso López I, El Poblado I, Alfonso Bonilla Aragón, Manuela Beltrán, Mojica y Siloé.</t>
  </si>
  <si>
    <t>BP2600306010201</t>
  </si>
  <si>
    <t>Implementar 12 campañas de gestión del riesgo en abordar situaciones de salud relacionadas con condiciones ambientales, vigilancia y control de vectores</t>
  </si>
  <si>
    <t>Se realizaron 3 campaña de gestión con un total de:
95.406  revisiones a sumideros; 1.856 visitas en Lugares de Concentración Humana para control de criaderos; 4.363 visitas a viviendas y 1.294 viviendas fumigadas con motomochila; 340 acciones de control biológico con peces guppies; 4 Jornadas integrales de Prevención de dengue. Y como actividad contingencial, aproximadamente, 2.688 manzanas y 127.788 predios fumigados con máquina pesada.</t>
  </si>
  <si>
    <t>BP2600306010301</t>
  </si>
  <si>
    <t xml:space="preserve">Actualizar 1 sistema de información en temas asociados a la vigilancia de vectores  y la atención a usuarios internos y externos </t>
  </si>
  <si>
    <t>Se avanza en la actualizacion del sistema de información y alistamiento de reportes de vigilancia de vectores y atención para el sistema de información.</t>
  </si>
  <si>
    <t>Estrategia de Gestión Integrada - EGI de Zoonosis implementada</t>
  </si>
  <si>
    <t>Fortalecimiento de la Estrategia de Gestión Integral de Zoonosis en Santiago de Cali</t>
  </si>
  <si>
    <t>BP26003077</t>
  </si>
  <si>
    <t>BP2600307710101</t>
  </si>
  <si>
    <t>Realizar  en 1 distrito inspección, vigilancia y control de los factores del riesgo del ambiente que afectan la salud humana</t>
  </si>
  <si>
    <t xml:space="preserve">Distritos con acciones de Inspección Vigilancia y Control  reales y efectivas  de los factores del riesgo del ambiente que afectan la salud humana  realizados </t>
  </si>
  <si>
    <t>BP2600307710201</t>
  </si>
  <si>
    <t xml:space="preserve">Generar 12 informes de vigilancia epidemiológica </t>
  </si>
  <si>
    <t xml:space="preserve">Informes de evento generados en la vigencia  </t>
  </si>
  <si>
    <t xml:space="preserve">Se ha realizado 3 informes relacionados a las acciones de vigilancia y control de la zoonosis - rabia animal con un reporte total de 22 inmunizaciones a caninos y felinos y 141 notificaciones de agresiones de animales potencialmente transmisores de la rabia </t>
  </si>
  <si>
    <t>BP2600307710301</t>
  </si>
  <si>
    <t>Realizar 1 intervención de promoción, prevención, vigilancia y control de vectores y zoonosis</t>
  </si>
  <si>
    <t xml:space="preserve">Municipios categorías 1,2 y 3 que formulen y ejecuten real y efectivamente acciones de promoción, prevención, vigilancia  y control de vectores y zoonosis realizados
</t>
  </si>
  <si>
    <t>Se realizaron acciones de promoción, prevención, vigilancia y control de  zoonosis  plasmadas en el plan de trabajo, priorizacion de territorios  y cronograma anual de vacunacion antirrabica.</t>
  </si>
  <si>
    <t>BP2600307710401</t>
  </si>
  <si>
    <t xml:space="preserve">Realizar dotación del 100% de bienes y Servicio de interés en  salud pública en acciones de control de la transmisión de la zoonosis de forma preventiva y correctiva </t>
  </si>
  <si>
    <t xml:space="preserve">Cumplimiento de indicador ponderado de suministro de bienes y Servicio de interés para la salud pública en una vigencia determinada   </t>
  </si>
  <si>
    <t>Edificaciones e instalaciones con condiciones seguras para la salud humana aumentadas</t>
  </si>
  <si>
    <t>Mejoramiento de las acciones de inspección, vigilancia y control en Santiago de Cali</t>
  </si>
  <si>
    <t>BP26002955</t>
  </si>
  <si>
    <t>BP2600295510101</t>
  </si>
  <si>
    <t>Generar 4 informes  de eventos y  componentes temáticos de la salud ambiental identificados en zonas de interés</t>
  </si>
  <si>
    <t>Informes de evento generados en la vigencia</t>
  </si>
  <si>
    <t>Se realizó un informe con el reporte de las acciones trimestrales que corresponden al seguimiento de la gestión de los proyectos de inversión y acciones desarrolladas por en el Grupo de Gestión Integral de la Salud Ambiental – GISA</t>
  </si>
  <si>
    <t>BP2600295510102</t>
  </si>
  <si>
    <t>Elaborar 4 documentos metodológicos de plan de trabajo del procedimiento de IVC</t>
  </si>
  <si>
    <t>BP2600295510201</t>
  </si>
  <si>
    <t xml:space="preserve">Realizar 1200 análisis de laboratorio de componentes agua y saneamiento básico </t>
  </si>
  <si>
    <t xml:space="preserve">Análisis realizados
</t>
  </si>
  <si>
    <t>Se apoyo el proceso de implementación de la ISO NTC 17025-2017 y la toma de 138 muestras para vigilancia de la calidad del agua</t>
  </si>
  <si>
    <t>BP2600295510401</t>
  </si>
  <si>
    <t>Atender el 100% de solicitudes de evaluación del riesgo en inocuidad de alimentos</t>
  </si>
  <si>
    <t>Evaluaciones de riesgo realizadas en la vigencia/evaluaciones de riesgo solicitadas en la vigencia</t>
  </si>
  <si>
    <t>Se realizo la evaluación de riesgo en inocuidad de alimentos de acuerdo a las solicitudes y programacion con un 18% de avance</t>
  </si>
  <si>
    <t>BP2600295510402</t>
  </si>
  <si>
    <t>Realizar 9000 visitas de inspección sanitaria, vigilancia y control</t>
  </si>
  <si>
    <t>visitas realizadas</t>
  </si>
  <si>
    <t>Se realizaron visitas de inspección sanitaria, vigilancia y control a edificaciones e instalaciones encontrando que 2942 cuentan con condiciones seguras para la salud humana en el Distrito de Cali, cumpliendo con la meta.</t>
  </si>
  <si>
    <t>Índice de capacidad de operación de las Empresas Sociales del Estado aumentado</t>
  </si>
  <si>
    <t>Fortalecimiento de la capacidad de operación de las empresas sociales del estado en Santiago de Cali</t>
  </si>
  <si>
    <t>BP26004358</t>
  </si>
  <si>
    <t>BP2600435810101</t>
  </si>
  <si>
    <t>Índice de capacidad de
operación de las Empresas Sociales del Estado aumentado</t>
  </si>
  <si>
    <t>Apoyar la adquisición de 665 elementos entre mobiliario clínico y equipos biomédicos en  la dotación hospitalaria de las ESE, para alcanzar el 74% en el índice</t>
  </si>
  <si>
    <t>Elementos de dotación hospitalaria adquiridos</t>
  </si>
  <si>
    <t>Cali, Nuestra Casa Común</t>
  </si>
  <si>
    <t>Reducción del Riesgo</t>
  </si>
  <si>
    <t>Servicios de urgencias y ambulancias seguros en la respuesta a urgencias, emergencias y desastres</t>
  </si>
  <si>
    <t xml:space="preserve"> Fortalecimiento de la respuesta en salud en la atención de pacientes ante situaciones de urgencias, emergencias y desastres en santiago de cali.</t>
  </si>
  <si>
    <t>BP26003064</t>
  </si>
  <si>
    <t>BP2600306410101</t>
  </si>
  <si>
    <t>Capacitar 1000 personas en Primer Respondiente Comunitario con énfasis en manejo de Equipos de desfibrilación Externa Automática-DEA</t>
  </si>
  <si>
    <t>Se realizó estudio previo del proceso de capacitación.</t>
  </si>
  <si>
    <t>BP2600306410201</t>
  </si>
  <si>
    <t>Brindar asistencia técnica a 36 instituciones prestadoras de Servicio de salud en la implementación de planes hospitalarios de emergencias, que cuenten con Servicios de urgencias habilitados.</t>
  </si>
  <si>
    <t xml:space="preserve">Instituciones Prestadoras de Salud con asistencia técnica recibida en la Jurisdicción. </t>
  </si>
  <si>
    <t>Se brindo asistencia técnica e inspección a 4 instituciones prestadoras de Servicio de salud en la implementación de planes hospitalarios de emergencias.</t>
  </si>
  <si>
    <t>BP2600306410301</t>
  </si>
  <si>
    <t>Elaborar 7 documentos de planeación ante eventos de interes de salud pública</t>
  </si>
  <si>
    <t>Documentos de planeación para el mejoramiento de la calidad en salud elaborados.</t>
  </si>
  <si>
    <t>Se elaboró 4 documentos de planeación ante eventos masivos de interés en salud.</t>
  </si>
  <si>
    <t>BP2600306410401</t>
  </si>
  <si>
    <t>Coordinar la operación de 1  Centro Regulador de Urgencias, Emergencias y Desastres.</t>
  </si>
  <si>
    <t>Direcciones departamentales de salud con Centros Reguladores de Urgencias, Emergencias y Desastres efectivamente organizados.</t>
  </si>
  <si>
    <t>Se realizó seguimiento mensual al proceso para la coordinación de la operación del Centro Regulador de Urgencias y Emergencias (CRUE) ante situaciones de urgencias y emergencias médicas. Además, se realizó 1 actividad para la ejecución del SEM, 2 reuniones de articulación del SEM y 6 respuesta a PQR.</t>
  </si>
  <si>
    <t>BP2600306410501</t>
  </si>
  <si>
    <t>Realizar inspección de registro y control a 351 prestadores de Servicio de transporte asistencial de salud públicos y privado (390 ambulancias habilitadas) y en donde al menos el 90% cumple requisitos</t>
  </si>
  <si>
    <t>Registro y control de los Prestadores de Servicio de Salud públicos y privado</t>
  </si>
  <si>
    <t>Se realizó registro y control a 9 prestadores de transporte asistencial de pacientes. Además, 1 verificación al talento humano en empresa de ambulancias, 2 autorizaciones para emblema de Misión Medica.</t>
  </si>
  <si>
    <t>BP2600306410601</t>
  </si>
  <si>
    <t xml:space="preserve">Participar en actividades de vigilancia de 100 eventos de interés en salud publica </t>
  </si>
  <si>
    <t>Eventos de interés en salud publica vigilados por laboratorio o por las redes especiales desde la Dirección de Redes en Salud Publica</t>
  </si>
  <si>
    <t>Se participó en 39 eventos de interés en salud, referentes a afluencia masiva de personas a través de los Puestos de Mando Unificado instalados para tal fin.</t>
  </si>
  <si>
    <t>BP2600306410701</t>
  </si>
  <si>
    <t>implementar 1 proceso de gestión del riesgo y el manejo de desastres en los instrumentos de gestión pública.</t>
  </si>
  <si>
    <t>Municipios con implementación efectiva de los procesos de gestión del riesgo y el manejo de desastres en los instrumentos de gestión pública.</t>
  </si>
  <si>
    <t>Se realizó la implementación mensual del proceso de gestión del riesgo y el manejo de desastres. Para ello se realizaron: participación en 21 reuniones de articulación, 7 Alertas hospitalarias, 1 Alerta Amarilla, Consolidación mensual de eventos.</t>
  </si>
  <si>
    <t>Licitación</t>
  </si>
  <si>
    <t>Empleabilidad y Emprendimiento</t>
  </si>
  <si>
    <t>Empleabilidad con Enfoque Diferencial y de Género</t>
  </si>
  <si>
    <t>Entidades públicas y/o privadas sensibilizadas en enfoque diferencial y de género que promuevan buenas prácticas de inclusión desarrollo humano y autonomía económica</t>
  </si>
  <si>
    <t>Desarrollo de prácticas equitativas y de género que contribuyan al empoderamiento de las mujeres y su autonomía económica en el distrito de Santiago de Cali</t>
  </si>
  <si>
    <t>BP26003141</t>
  </si>
  <si>
    <t>Subsecretaría de Equidad de Género</t>
  </si>
  <si>
    <t>BP2600314110101</t>
  </si>
  <si>
    <t>Sensibilizar a 16 Entidades Públicas y/o Privadas con enfoque diferencial y de género.</t>
  </si>
  <si>
    <t>Instancias territoriales de coordinación institucional asistidas y apoyadas</t>
  </si>
  <si>
    <t>En el periodo correspondiente de enero a marzo se desarrollaron 8 sensibilizaciones a entidades, organismos y dependencias en el marco del enfoque de género para la autonomía económica de las mujeres en el Distrito de Cali.</t>
  </si>
  <si>
    <t>BP2600314110201</t>
  </si>
  <si>
    <t>Realizar 200 capacitaciones a mujeres en formulación de políticas empresariales.</t>
  </si>
  <si>
    <t>En el periodo de enero a marzo se  lograron capacitar  50 mujeres a través de alianzas con empresas de la ciudad para procesos de empleabilidad y/o emprendimiento.</t>
  </si>
  <si>
    <t>Centros de orientación familiar funcionando como estrategia para la prevención de las violencias y para el fortalecimiento de habilidades para la vida, el trabajo y la convivencia de las Familias, con el enfoque interespecie incorporado para la atención diferencial</t>
  </si>
  <si>
    <t>Fortalecimiento  a Centros de Orientación Familiar para la prevención de las violencias,el afianzamiento de habilidades para a vida y el tejido social en Santiago de Cali</t>
  </si>
  <si>
    <t>BP26003466</t>
  </si>
  <si>
    <t xml:space="preserve">Subsecretaría de Poblaciones y Etnias </t>
  </si>
  <si>
    <t>BP2600346610201</t>
  </si>
  <si>
    <t>Atender en 1 centro de orientación  a 715 familias en temas de ayuda psicosocial y jurídica en el marco de la estrategia de prevención de las violencias.</t>
  </si>
  <si>
    <t>Familias atendidas</t>
  </si>
  <si>
    <t>Para el periodo correspondiente de enero a marzo, se avanzó en el proceso de gestión institucional y articulaciones para el desarrollo de la intervención en territorio.</t>
  </si>
  <si>
    <t>Personas en Procesos de Retorno y Reubicación, apoyadas</t>
  </si>
  <si>
    <t>Apoyo a las personas víctimas del conflicto armado en los procesos de retorno y reubicación desde o hacía el Municipio de Santiago de  Cali</t>
  </si>
  <si>
    <t>BP26003023</t>
  </si>
  <si>
    <t>Subsecretaría de Atención Integral a Víctimas</t>
  </si>
  <si>
    <t>BP2600302310101</t>
  </si>
  <si>
    <t>Realizar acompañamiento a una comunidad en proceso de retorno y reubicación.</t>
  </si>
  <si>
    <t>Comunidades con procesos de acompañamiento para retornos o reubicación</t>
  </si>
  <si>
    <t>BP2600302310201</t>
  </si>
  <si>
    <t>Apoyar a 50 personas en procesos de retorno y reubicación que pertenecen  a 50 hogares víctimas del conflicto armado.</t>
  </si>
  <si>
    <t>Hogares víctimas apoyados para el mejoramiento de condiciones de habitabilidad</t>
  </si>
  <si>
    <t>Familias víctimas restituidas, que reciben medidas de asistencia, atención y reparación en proceso de restitución de tierras</t>
  </si>
  <si>
    <t>Asistencia y atención para las familias víctimas  del conflicto armado restituidas de tierras en Santiago de  Cali</t>
  </si>
  <si>
    <t>BP26003020</t>
  </si>
  <si>
    <t>BP2600302010101</t>
  </si>
  <si>
    <t>Informar a 100 víctimas del conflicto armado sobre la oferta institucional.</t>
  </si>
  <si>
    <t>Victimas informadas sobre oferta institucional</t>
  </si>
  <si>
    <t>BP2600302010201</t>
  </si>
  <si>
    <t>Asisitir a 10 familias víctimas en el proceso de restitución de tierras y mejoramiento de condiciones de habitabilidad.</t>
  </si>
  <si>
    <t>Personas que reciben orientación y atención integral a través del Centro Regional de Atención a Víctimas</t>
  </si>
  <si>
    <t>Fortalecimiento de los servicios de orientación y atención del Centro Regional de Atención a Víctimas en Santiago de  Cali</t>
  </si>
  <si>
    <t>BP26003012</t>
  </si>
  <si>
    <t>BP2600301210101</t>
  </si>
  <si>
    <t xml:space="preserve">Atender 31.000 solicitudes de personas que buscan recibir orientación y atención integral. </t>
  </si>
  <si>
    <t>Solicitudes tramitadas</t>
  </si>
  <si>
    <t>En el periodo correspondiente de enero a marzo, se atendió un total de 14.077  personas como parte del proceso de atención a las personas que se acercaron al Centro Regional de Atención a las Víctimas - CRAV. En este proceso se capacitaron a funcionarios, representantes de organizaciones de víctimas y usuarios.</t>
  </si>
  <si>
    <t>BP2600301210201</t>
  </si>
  <si>
    <t>Elaborar un plan de acción articulado como mecanismo para fortalecer la capacidad institucional en el CRAV.</t>
  </si>
  <si>
    <t>Planes de acción articulados</t>
  </si>
  <si>
    <t>Puntos de Información Orientación (PIO) y Unidades Móviles adecuadas y funcionando</t>
  </si>
  <si>
    <t>Fortalecimiento de la oferta de servicios  brindados a las víctimas del conflicto armado en Santiago de  Cali</t>
  </si>
  <si>
    <t>BP26003018</t>
  </si>
  <si>
    <t>BP2600301810101</t>
  </si>
  <si>
    <t>Adecuar y garantizar el funcionamiento de 1 centro regional PIO.</t>
  </si>
  <si>
    <t>Centros regionales y puntos de atención a víctimas dotados</t>
  </si>
  <si>
    <t>En el periodo de enero a marzo, se realizó el alistamiento para el funcionamiento de los PIOS en el territorio.</t>
  </si>
  <si>
    <t>BP2600301810201</t>
  </si>
  <si>
    <t>Informar a 7.659 víctimas del conflictor armado sobre la oferta institucional.</t>
  </si>
  <si>
    <t>Hogares víctimas del conflicto armado que solicitan y reciben ayuda humanitaria con enfoque étnico diferencial, en cumplimiento de los requisitos de ley</t>
  </si>
  <si>
    <t>Apoyo de ayudas humanitarias Inmediatas a los hogares víctimas del conflicto armado en  Cali</t>
  </si>
  <si>
    <t>BP26003008</t>
  </si>
  <si>
    <t>BP2600300810101</t>
  </si>
  <si>
    <t xml:space="preserve">Hogares víctimas del conflicto armado que solicitan y reciben ayuda humanitaria </t>
  </si>
  <si>
    <t>Atender a 37.884 personas de 12.628 hogares víctimas del conflicto en el marco de ayudas humanitarias inmediatas.</t>
  </si>
  <si>
    <t>Personas con asistencia humanitaria</t>
  </si>
  <si>
    <t>En el periodo de enero a marzo, se atendió a un total de 593 hogares habilitados por ley para recibir la ayuda humanitaria, conformados por 1.780 personas. En este proceso se brindó bonos de alimentacion, aseo y dotacion, además de la atención a los declarantes. De esta manera, el avance correspondiente a dicho periodo es de un 100%  (593/593).</t>
  </si>
  <si>
    <t>Sistema de información de atención a víctimas del conflicto ampliado e integrado</t>
  </si>
  <si>
    <t>Ampliación e integración del Sistema de Información de Víctimas de  Cali</t>
  </si>
  <si>
    <t>BP26003009</t>
  </si>
  <si>
    <t>BP2600300910101</t>
  </si>
  <si>
    <t>Caracterizar a 30.000 víctimas del conflicto armado a través del sistema SIVIC.</t>
  </si>
  <si>
    <t>Víctimas caracterizadas</t>
  </si>
  <si>
    <t>BP2600300910201</t>
  </si>
  <si>
    <t>Ingresar a través de 1 módulo ampliado e intregados al SIVIC, 30.000 víctimas del conflicto armado.</t>
  </si>
  <si>
    <t>Víctimas incluidas en el Registro Único de Víctimas</t>
  </si>
  <si>
    <t>Porcentaje de atención de solicitudes recibidas por canales no presenciales habilitados para servicios de atención y orientación</t>
  </si>
  <si>
    <t>Fortalecimiento de la atención a las víctimas del conflicto armado a través de canales no presenciales en Santiago de Cali</t>
  </si>
  <si>
    <t>BP26003726</t>
  </si>
  <si>
    <t>BP2600372610101</t>
  </si>
  <si>
    <t xml:space="preserve">Tramitar 2.850 solicitudes de personas vìctimas del conflicto armado. </t>
  </si>
  <si>
    <t>Personas víctimas del conflicto armado que reciben asistencia psico jurídica especializada frente al goce efectivo de sus derechos a la verdad, la justicia, la reparación y la no repetición</t>
  </si>
  <si>
    <t>Asistencia a víctimas de manera psicosocial y jurídicamente frente al goce de sus derechos ante las entidades del Sistema Integral de Verdad, Justicia, Reparación y No Repetición Cali</t>
  </si>
  <si>
    <t>BP26003510</t>
  </si>
  <si>
    <t>BP2600351010101</t>
  </si>
  <si>
    <t>Personas víctimas del conflicto armado que reciben asistencia psico jurídica especializada</t>
  </si>
  <si>
    <t>Realizar asistencia psico jurídica especializada a 220 personas víctimas del conflicto armado.</t>
  </si>
  <si>
    <t xml:space="preserve">Victimas informadas sobre oferta institucional  </t>
  </si>
  <si>
    <t xml:space="preserve">En el avance correspondiente de enero a marzo, se registró un total de 50 personas víctimas del conflicto armado, atendidas e informadas a través de las atenciones psico jurídicas. </t>
  </si>
  <si>
    <t>BP2600351010201</t>
  </si>
  <si>
    <t>Reconocer, recordar y dignificar a 20 personas víctimas del conflicto armado.</t>
  </si>
  <si>
    <t>Víctimas reconocidas, recordadas y dignificadas por el Estado</t>
  </si>
  <si>
    <t>Personas víctimas del conflicto armado que se benefician de la estrategia "Reparar para Reconciliar" con enfoque diferencial</t>
  </si>
  <si>
    <t>Reparación a víctimas del conflicto armado mediante la estrategia Reparar para Reconciliar en Santiago de Cali</t>
  </si>
  <si>
    <t>BP26003531</t>
  </si>
  <si>
    <t>BP2600353110101</t>
  </si>
  <si>
    <t xml:space="preserve">Caracterizar a 957 víctimas del conflicto armado durante la estrategia "Reparar para Reconciliar". </t>
  </si>
  <si>
    <t>BP2600353110201</t>
  </si>
  <si>
    <t>Beneficiar con la estrategia "Reparar para Reconciliar" a 2.300 personas víctimas del conflicto armado.</t>
  </si>
  <si>
    <t>Víctimas con atención psicosocial en modalidad individual, familiar, comunitaria y grupal.</t>
  </si>
  <si>
    <t>Organizaciones que reciben apoyo para su participación e incidencia ante las entidades del Sistema Integral de Verdad, Justicia Reparación y No Repetición</t>
  </si>
  <si>
    <t>Apoyo a las organizaciones de víctimas ante las entidades del Sistema Integral de Verdad, Justicia, Reparación y No Repetición - SIVJRNR   Cali</t>
  </si>
  <si>
    <t>BP26003509</t>
  </si>
  <si>
    <t>BP2600350910101</t>
  </si>
  <si>
    <t>Asistir a 50 organizaciones en participación e incidencia antes las entidades del SIVJRNP.</t>
  </si>
  <si>
    <t>Instituciones y organizaciones asistidas técnicamente</t>
  </si>
  <si>
    <t>Personas víctimas del conflicto armado capacitados en mecanismos de reparación y restitución de derechos</t>
  </si>
  <si>
    <t>Capacitación a víctimas del conflicto armado en mecanismos de reparación y restitución de derechos Cali</t>
  </si>
  <si>
    <t>BP26003514</t>
  </si>
  <si>
    <t>BP2600351410101</t>
  </si>
  <si>
    <t>Capacitar a 3.380 personas víctimas del conflicto armado en mecanismos de reparación y restitución de derechos.</t>
  </si>
  <si>
    <t>Planes de Funcionamiento de la Mesa Distrital de Participación Efectiva de Víctimas aprobado y ejecutado</t>
  </si>
  <si>
    <t>Apoyo al funcionamiento de la Mesa Municipal de Participación Efectiva de Víctimas en Santiago de  Cali</t>
  </si>
  <si>
    <t>BP26003016</t>
  </si>
  <si>
    <t>BP2600301610101</t>
  </si>
  <si>
    <t>Garantizar un plan de funcionamiento de mesa distrital en donde se realizará un evento de participación.</t>
  </si>
  <si>
    <t>Eventos de participación realizados</t>
  </si>
  <si>
    <t>BP2600301610201</t>
  </si>
  <si>
    <t>Brindar oferta institucional a los 28 participantes en la Mesa Distrital de Víctimas.</t>
  </si>
  <si>
    <t>Víctimas informadas sobre oferta institucional</t>
  </si>
  <si>
    <t>Eventos conmemorativos para las víctimas como medidas de satisfacción</t>
  </si>
  <si>
    <t>Elaboración de eventos conmemorativos como medida de satisfacción de las víctimas del conflicto armado en Santiago de Cali</t>
  </si>
  <si>
    <t>BP26003013</t>
  </si>
  <si>
    <t>BP2600301310101</t>
  </si>
  <si>
    <t>Realizar un evento conmemorativo en donde se reconocen, recuerdan y dignifican a 450 víctimas del conflicto armado.</t>
  </si>
  <si>
    <t>Encuentros regionales de prevención y articulación de las acciones para mitigación de efectos de desplazamiento y alistamiento de los municipios receptores</t>
  </si>
  <si>
    <t>Desarrollo de encuentros regionales de prevención y articulación para mitigar los efectos de desplazamiento y alistamiento de los municipios receptores en Santiago de Cali</t>
  </si>
  <si>
    <t>BP26003511</t>
  </si>
  <si>
    <t>BP2600351110101</t>
  </si>
  <si>
    <t>Encuentros regionales de prevención y articulación de las acciones para mitigación de efectos de desplazamiento</t>
  </si>
  <si>
    <t>Realizar 4 encuentros regionales de prevención y articulación en 4 misiones humanitarias.</t>
  </si>
  <si>
    <t>Misiones humanitarias realizadas</t>
  </si>
  <si>
    <t xml:space="preserve">Poblaciones Construyendo Territorio </t>
  </si>
  <si>
    <t xml:space="preserve">Cariños, Puro Corazón por la Primera Infancia </t>
  </si>
  <si>
    <t>Sistema Distrital de Atención Integral a la Primera Infancia</t>
  </si>
  <si>
    <t>Conformación del sistema distrital de atención integral a la primera infancia en Santiago de   Cali</t>
  </si>
  <si>
    <t>BP26003503</t>
  </si>
  <si>
    <t>Subsecretaría de la Primera Infancia</t>
  </si>
  <si>
    <t>BP2600350310101</t>
  </si>
  <si>
    <t>Constituir un Sistema Distrital de Atención Integral a la Primera Infancia en la que se asiste técnicamente a 5 instituciones.</t>
  </si>
  <si>
    <t>Instituciones y entidades asistidas técnicamente</t>
  </si>
  <si>
    <t>Mantenimiento de las Unidades de Transformación Social - UTS de atención Integral a la Primera Infancia</t>
  </si>
  <si>
    <t>BP26002756</t>
  </si>
  <si>
    <t>Fortalecimiento de las condiciones físicas y técnicas de las infraestructuras de las unidades de trasformación social de primera infancia en Santiago de Cali</t>
  </si>
  <si>
    <t>BP2600275610101</t>
  </si>
  <si>
    <t>Realizar el mantenimiento preventivo en las 18 infraestructuras de las Unidades de Transformación Social, que son propiedad del Distrito.</t>
  </si>
  <si>
    <t>Edificaciones de atención a la primera infancia adecuadas</t>
  </si>
  <si>
    <t>Niñas, Niños, Mujeres gestantes y madres lactantes atendidas con el Programa Cariños para la Atención Integral a la Primera Infancia</t>
  </si>
  <si>
    <t>Desarrollo de modalidades de Atención Integral a la Primera Infancia en el marco del modelo CARIÑOS en el Distrito de Cali</t>
  </si>
  <si>
    <t>BP26004388</t>
  </si>
  <si>
    <t>BP2600438810101</t>
  </si>
  <si>
    <t>Atender a 10.161 niños, niñas, mujeres gestantes y madres lactantes con el programa cariños como parte de un servicio de atención integral.</t>
  </si>
  <si>
    <t>Niños y niñas atendidos en servicios integrales</t>
  </si>
  <si>
    <t>En el periodo de enero a marzo, se realizó la planeación para la ampliación de cobertura de la atención integral a la primera infancia.  Además de la planeación, revisión y formulación dentro del proceso de acompañamiento técnico al talento humano dispuesto para acciones en territorio.</t>
  </si>
  <si>
    <t>BP2600438810201</t>
  </si>
  <si>
    <t>Dotar a 18 UTS del Distrito para la atención a la primera infancia.</t>
  </si>
  <si>
    <t>Edificaciones de atención a la primera infancia dotadas</t>
  </si>
  <si>
    <t>BP2600438810301</t>
  </si>
  <si>
    <t>Prestar servicio de educación informal a 1.492 agentes educativos.</t>
  </si>
  <si>
    <t>Agentes de la institucionalidad de infancia, adolescencia y juventud asistidos técnicamente</t>
  </si>
  <si>
    <t>En el periodo de enero a marzo, se realizó el alistamiento para iniciar la atención en las UTS, además de adelantarse las socializaciones para la planeación de programas de cualificación del talento humano de las UTS..</t>
  </si>
  <si>
    <t xml:space="preserve">Organismos articulados intersectorial e interinstitucionalmente en la implementación de estrategias de movilización social </t>
  </si>
  <si>
    <t>Apoyo para la articulación intersectorial e interinstitucional para la movilización social en Santiago de  Cali</t>
  </si>
  <si>
    <t>BP26003541</t>
  </si>
  <si>
    <t>BP2600354110201</t>
  </si>
  <si>
    <t>Articular a una organización en procesos y acciones de conmemoración y visibilización de la población de primera infancia como sujetos de derechos.</t>
  </si>
  <si>
    <t>BP2600354110301</t>
  </si>
  <si>
    <t>Asistir tecnicamente a 18 comunidades en el fortalecimiento del tejido social y construcción de escenarios comunitarios protectores de derechos.</t>
  </si>
  <si>
    <t>Niñas, niños y mujeres gestantes de las UTS de Atención Integral a la Primera Infancia con seguimiento en la Ruta Integral de Atenciones - RIA</t>
  </si>
  <si>
    <t>Implementación de la ruta integral de atenciones a niños, niñas y mujeres gestantes en Santiago de Cali</t>
  </si>
  <si>
    <t>BP26003459</t>
  </si>
  <si>
    <t>BP2600345910101</t>
  </si>
  <si>
    <t>Realizar seguimiento al 100% de niñas, niños y mujeres gestantes de las UTS de Atención Integral a la Primera Infancia, a través del RIA.</t>
  </si>
  <si>
    <t>Usuarios del sistema</t>
  </si>
  <si>
    <t>Personas participando de estrategias de promoción de los derechos y prevención de sus vulneraciones</t>
  </si>
  <si>
    <t>Fortalecimiento a la promoción de Derechos, prevención de vulneraciones y de la alta permanencia en calle de  los niños,niñas y adolescentes en el marco de la  implementación de la política publica  de primera infancia y adolescencia en Santiago de  Cali</t>
  </si>
  <si>
    <t>BP26002613</t>
  </si>
  <si>
    <t>Subsecretaría de Poblaciones y Etnias</t>
  </si>
  <si>
    <t>BP2600261310201</t>
  </si>
  <si>
    <t>Garantizar la participación de 100 familias, conformadas por 100 personas  en el marco de la estrategia de promoción de derechos.</t>
  </si>
  <si>
    <t>Familias  atendidas</t>
  </si>
  <si>
    <t>En el periodo correspondiente de enero a marzo, se avanzó en las gestiones de articulación con grupos organizados y con instituciones educativas para el desarrollo del proceso de formación en promoción de derechos.</t>
  </si>
  <si>
    <t>BP2600261310401</t>
  </si>
  <si>
    <t>Realizar capacitación a 50 personas en relación  a la prevención de vulneraciones.</t>
  </si>
  <si>
    <t>En el periodo de enero a marzo, se estableció cronograma de intervención conjunto con el ICBF y las entidades competentes para el desarrollo de la intervención.</t>
  </si>
  <si>
    <t>Hogares de paso para la atención inmediata, provisional e integral de NNA con vulneración de derechos, funcionando</t>
  </si>
  <si>
    <t>Fortalecimiento a la atención integral de niños, niñas y adolescentes con derechos vulnerados en hogares de paso en Santiago de Cali</t>
  </si>
  <si>
    <t>BP26003501</t>
  </si>
  <si>
    <t>BP2600350110101</t>
  </si>
  <si>
    <t>Garantizar el funcionamiento de 8 hogares de paso para la atención inmediata, en el que se atiende a 134 Niños, niñas, adolescentes y jóvenes con servicio de protección para el restablecimiento de derechos.</t>
  </si>
  <si>
    <t>Niños, niñas, adolescentes y jóvenes atendidos con servicio de protección para el restablecimiento de derechos</t>
  </si>
  <si>
    <t>BP2600350110201</t>
  </si>
  <si>
    <t>Ejecutar 2 acciones para la atencion inmediata en los hogares de paso.</t>
  </si>
  <si>
    <t>Acciones ejecutadas con las comunidades</t>
  </si>
  <si>
    <t>Espacios juveniles de participación con procesos de liderazgo, normativa juvenil y gestión organizacional acompañados, apoyados y formados</t>
  </si>
  <si>
    <t>Apoyo a los espacios juveniles de participación en el marco de la Política Pública de Juventudes de Santiago de Cali</t>
  </si>
  <si>
    <t>BP26002652</t>
  </si>
  <si>
    <t>BP2600265210101</t>
  </si>
  <si>
    <t>Apoyar un espacio juvenil de participación al que asisten 700 agentes de la institucionalidad.</t>
  </si>
  <si>
    <t>Agentes de la institucionalidad de infancia, adolescencia y juventud  asistidos técnicamente</t>
  </si>
  <si>
    <t>En el periodo correspondiente de enero a marzo se llevó a cabo convocatorias y posteriormente reuniones con la organización de la Plataforma Distrital de Juventud. Además de una reunión con el Consejo de Juventudes. Estas actividades se realizaron para la socialización del mandato juvenil con los jóvenes miembros.  También se realizó reuniones con jóvenes que forman parte de la Unidad de Acción Vallecaucana, con el fin de facilitar la comprensión de la Ley Estatutaria de Ciudadanía Juvenil y del Plan de Desarrollo. En este proceso, se asistieron a 25 jóvenes.</t>
  </si>
  <si>
    <t>BP2600265210201</t>
  </si>
  <si>
    <t>Ejecutar 8 acciones de participación de las juventudes en el Subsistema de juventudes.</t>
  </si>
  <si>
    <t>De enero a marzo se brindó acompañamiento a la activación de la Plataforma de Juventudes en la Comuna 11 y con dos (2) organizaciones sociales. Durante estas actividades, se llevaron a cabo dos importantes reuniones: 1. Se realizó una reunión entre la mesa directiva del Consejo Distrital de Juventud y la Secretaría de Bienestar Social, con el objetivo de armonizar el mandato juvenil con el Plan de Desarrollo. 2. También se llevó a cabo una reunión con la Plataforma de Juventud Distrital en Cali, con el propósito de articular su agenda de trabajo con la oferta del programa.</t>
  </si>
  <si>
    <t>Organizaciones juveniles con procesos sociales y comunitarios apoyadas técnicamente</t>
  </si>
  <si>
    <t>Apoyo al desarollo de iniciativas sociales innovadoras de jóvenes en organizaciones juveniles de Santiago de Cali</t>
  </si>
  <si>
    <t>BP26002648</t>
  </si>
  <si>
    <t>BP2600264810101</t>
  </si>
  <si>
    <t>Ejecutar 40 acciones con comunidades y/o organizaciones juveniles.</t>
  </si>
  <si>
    <t>En el periodo correspondiente de enero a marzo, se llevaron a cabo reuniones con jóvenes de dos proyectos de iniciativa de innovación social: "Jóvenes Resilientes" de ACDI/VOCA y "Jóvenes para Incidir" del Movilizatorio. Durante estos encuentros, se llegó a un acuerdo para brindarles apoyo a ambas iniciativas de innovación social.</t>
  </si>
  <si>
    <t>BP2600264810201</t>
  </si>
  <si>
    <t>Realizar 4 campañas de promoción en el marco de los procesos comunitarios.</t>
  </si>
  <si>
    <t>Campañas de promoción realizadas</t>
  </si>
  <si>
    <t>Medios virtuales para la información, consulta y atención de jóvenes desarrollados e implementados</t>
  </si>
  <si>
    <t>Apoyo a medios virtuales para la información, comunicación, acceso y consulta de la población juvenil de Santiago de Cali</t>
  </si>
  <si>
    <t>BP26002651</t>
  </si>
  <si>
    <t>BP2600265110101</t>
  </si>
  <si>
    <t>Realizar 1 campaña de promoción en el marco de la implementación de los 2 medios virtuales.</t>
  </si>
  <si>
    <t>BP2600265110201</t>
  </si>
  <si>
    <t>Ejecutar 1 acción con comunidades.</t>
  </si>
  <si>
    <t>De enero a marzo, el equipo de trabajo realizó la organización de un plan de trabajo estructurado, destinado a las acciones en comunidad y el desarrollo oportuno de la herramienta digital.</t>
  </si>
  <si>
    <t>Personas Mayores Envejeciendo con Bienestar</t>
  </si>
  <si>
    <t>Atención psicosocial, personal y familiar a la población adulta mayor de comunas y corregimientos</t>
  </si>
  <si>
    <t>Apoyo para la promoción de estilos de vida saludable en las personas mayores de la comuna 19 de Santiago de  Cali</t>
  </si>
  <si>
    <t xml:space="preserve">BP26004993 </t>
  </si>
  <si>
    <t>BP2600499320101</t>
  </si>
  <si>
    <t>Atender a 160 adultos mayores a través de la atención psicosocial, personal y familiar.</t>
  </si>
  <si>
    <t>Adultos mayores atendidos con servicios integrales</t>
  </si>
  <si>
    <t>Personas mayores atendidas en modalidad hogar larga estancia y hogar de paso</t>
  </si>
  <si>
    <t>Servicio de Protección Social Integral en la Modalidad de Larga Estancia para las personas mayores del Distrito de Santiago de Cali</t>
  </si>
  <si>
    <t xml:space="preserve">BP26004815 </t>
  </si>
  <si>
    <t>BP2600481510101</t>
  </si>
  <si>
    <t>Atender a 282 adultos mayores en situación de abandono mediante el servicio de albergue de larga estancia.</t>
  </si>
  <si>
    <t>En el periodo de enero a marzo, se han llevado a cabo reuniones con los equipos administrativos y técnicos, tanto de la Subsecretaría de Poblaciones y Etnias como del Hospital Geriátrico San Miguel de la E.S.E. En estas reuniones se han establecido rutas de trabajo inicial con el objetivo de lograr un funcionamiento óptimo. Como parte de este proceso, se realizaron mesas técnicas en las que se discutieron los casos críticos de los beneficiarios que actualmente están bajo custodia de la E.S.E. y las acciones pertinentes a tomar.</t>
  </si>
  <si>
    <t>Personas mayores en modalidad Centros Vida atendidas</t>
  </si>
  <si>
    <t>Implementación de un modelo de atención a través de un centro vida para personas mayores en Santiago de Cali</t>
  </si>
  <si>
    <t>BP26002658</t>
  </si>
  <si>
    <t>BP2600265810101</t>
  </si>
  <si>
    <t>Atender a 660 personas mayores en modalidad centros vida atendidas.</t>
  </si>
  <si>
    <t>Adultos mayores que reciben atención y protección integral</t>
  </si>
  <si>
    <t>BP2600265810201</t>
  </si>
  <si>
    <t>Adecuar 22 centros de dia para el adulto mayor.</t>
  </si>
  <si>
    <t>Centros de día para el adulto mayor dotados</t>
  </si>
  <si>
    <t>Cuidadores de personas mayores, formadas en cuidados, manejo, proyectos de vida y derechos</t>
  </si>
  <si>
    <t>Formación a cuidadores de personas mayores de la comuna 14 de Santiago de Cali</t>
  </si>
  <si>
    <t xml:space="preserve">BP26005021 </t>
  </si>
  <si>
    <t>BP2600502120101</t>
  </si>
  <si>
    <t>Brindar capacitación a 100 cuidadores de personas mayores.</t>
  </si>
  <si>
    <t>Cuidadores cualificados</t>
  </si>
  <si>
    <t>Personas con discapacidad, sus familias y cuidadores atendidos en abordaje de la discapacidad, derechos, redes de apoyo, incidencia, organización, desarrollo de habilidades para la vida y el trabajo</t>
  </si>
  <si>
    <t>Servicio de atención a personas con discapacidad, sus familias y cuidadores de Santiago de Cali</t>
  </si>
  <si>
    <t>BP26003181</t>
  </si>
  <si>
    <t>BP2600318110101</t>
  </si>
  <si>
    <t>Atender a 500 personas con discapacidad, sus familias y cuidadores para quienes se gestiona la oferta social.</t>
  </si>
  <si>
    <t>Beneficiarios potenciales para quienes se gestiona la oferta social</t>
  </si>
  <si>
    <t>BP2600318110201</t>
  </si>
  <si>
    <t>Dotar 1 centro comunitario.</t>
  </si>
  <si>
    <t>Centros comunitarios dotados</t>
  </si>
  <si>
    <t>Fortalecimiento de las capacidades en las personas con discapacidad, sus familias y cuidadores en Santiago de Cali</t>
  </si>
  <si>
    <t xml:space="preserve">BP26004814 </t>
  </si>
  <si>
    <t>BP2600481420101</t>
  </si>
  <si>
    <t>Atender a 1.200 personas con discapacidad, sus familias y cuidadores brindando apoyo para su habilitación y/o rehabilitación funcional.</t>
  </si>
  <si>
    <t>En el proceso de capacidades y promover oportunidades a la población en situación de discapacidad, durante el periodo de enero a marzo, se  brindó capacitación a funcionarios de la Secretaría de Desarrollo Social de la Gobernación del Valle, sobre obligaciones que tienen las entidades públicas al momento de ofrecer el servicio de valoración. En este proceso se brindó acompañamiento a 10 personas.</t>
  </si>
  <si>
    <t>Productos de apoyo para la movilidad y desplazamiento de las Personas con discapacidad, entregados</t>
  </si>
  <si>
    <t>Adquisición de productos de apoyo  para la movilización y el transporte de las personas con discapacidad de Santiago de Cali</t>
  </si>
  <si>
    <t>BP26002681</t>
  </si>
  <si>
    <t>BP2600268110101</t>
  </si>
  <si>
    <t>Entregar 190 ayudas técnicas y/o elementos de apoyo a personas con discapacidad.</t>
  </si>
  <si>
    <t xml:space="preserve">Beneficiarios potenciales para quienes se gestiona la oferta social </t>
  </si>
  <si>
    <t>BP2600268110201</t>
  </si>
  <si>
    <t>Realizar acompañamiento a 200 hogares en el proceso de rehabilitacion.</t>
  </si>
  <si>
    <t xml:space="preserve">Hogares con acompañamiento familiar </t>
  </si>
  <si>
    <t>Planes estratégicos para Consejos Comunitarios, Organizaciones de Base Afro y Colonias Afrocolombianas, diseñado e implementado</t>
  </si>
  <si>
    <t>Apoyo en la formulación de planes estratégicos sectoriales en organizaciones de base afro, consejos comunitarios, colonias afrocolombianas en el marco de la implementación de la Política Pública Caliafro en Santiago de Cali</t>
  </si>
  <si>
    <t>BP26003522</t>
  </si>
  <si>
    <t>BP2600352210101</t>
  </si>
  <si>
    <t>Implementar un plan estratégico para consejos comunitarios, organizaciones de base Afro y colonias afrocolombianas plasmados en 1 informe de monitoreo y seguimiento.</t>
  </si>
  <si>
    <t>Informes de monitoreo y seguimiento elaborados</t>
  </si>
  <si>
    <t>Estrategias para transversalizar los enfoques étnico, racial, diferencial y poblacional en contextos políticos sociales y culturales, diseñadas e implementadas</t>
  </si>
  <si>
    <t>Apoyo organizacional en el marco de la implementación de la política publica CaliAfro Santiago de  Cali</t>
  </si>
  <si>
    <t>BP26004720</t>
  </si>
  <si>
    <t>BP2600472010101</t>
  </si>
  <si>
    <t>Brindar oferta institucional a 6.000 personas de las comunidades negras.</t>
  </si>
  <si>
    <t>En el periodo de enero a marzo, se inició el acompañamiento en las mesas técnicas interinstitucionales que buscan soluciones a las problematicas de la violencia de los jóvenes afro de las comunas del oriente de la ciudad de Cali. En este proceso se benefició a 2 personas con la oferta institucional.</t>
  </si>
  <si>
    <t>BP2600472010201</t>
  </si>
  <si>
    <t xml:space="preserve">Elaborar 4 informes de monitoreo y seguimiento en el marco de la implementación de la política pública CaliAfro. </t>
  </si>
  <si>
    <t>En lo correspondiente de enero a marzo, se inició el alistamiento para el  informe de seguimiento a la Política Pública CaliAfro.</t>
  </si>
  <si>
    <t>BP2600472010301</t>
  </si>
  <si>
    <t xml:space="preserve">Realizar un documento de investigacion para fortalecer la gestión de recursos para la transversalización de la política pública CaliAfro. </t>
  </si>
  <si>
    <t>Implementación de los Planes de Etnodesarrollo para los Consejos Comunitarios</t>
  </si>
  <si>
    <t>Implementacion de los Planes de Etnodesarrollo de los Consejos de Comunidades Negras, Afrocolombianas, Raizales y Palenqueras de Santiago de Cali</t>
  </si>
  <si>
    <t>BP26002780</t>
  </si>
  <si>
    <t>BP2600278010101</t>
  </si>
  <si>
    <t>Implementar dos planes etnodesarrollo a través de 1 informe de monitoreo y seguimiento.</t>
  </si>
  <si>
    <t>En el periodo de enero a marzo, se da inicio al  proceso de construcción y validación de los Planes de Etnodesarrollo en los consejos de comunidades negras.</t>
  </si>
  <si>
    <t>BP2600278010201</t>
  </si>
  <si>
    <t>Realizar un documento de investigacion para el Plan de Etnodesarrollo de  los Consejos de Comunidades Negras.</t>
  </si>
  <si>
    <t>Calidiversidad</t>
  </si>
  <si>
    <t>Población LGBTIQ+ con atención psicosocial y jurídica por la violación de derechos, con un enfoque diferencial de diversidad sexual y de géneros</t>
  </si>
  <si>
    <t>Desarrollo de estrategias de atención a población LGBTIQ+ en Santiago de Cali</t>
  </si>
  <si>
    <t>BP26002665</t>
  </si>
  <si>
    <t>BP2600266510101</t>
  </si>
  <si>
    <t>Brindar atención a 400 personas LGBTIQ+ en temas de orientación psicosocial y juridica para el reestablecimiento de derechos.</t>
  </si>
  <si>
    <t>En el periodo correspondiente de enero a marzo, se brindó atención a 21 personas LGBTIQ+, en cuanto a  servicios de acompañamiento psicosocial, asesoría jurídica y trabajo social.</t>
  </si>
  <si>
    <t>BP2600266510201</t>
  </si>
  <si>
    <t>Dotar 1 centro de atención presencial a la poblaciòn LGBTIQ+</t>
  </si>
  <si>
    <t>Instituciones Públicas y Privadas sensibilizadas en el enfoque de derechos, diversidad sexual y de géneros y Política Pública CaliDiversidad</t>
  </si>
  <si>
    <t>Desarrollo de estrategias de sensibilización con enfoque en derechos, diversidad sexual y de géneros en instituciones públicas y privadas de Santiago de Cali</t>
  </si>
  <si>
    <t>BP26002666</t>
  </si>
  <si>
    <t>BP2600266610101</t>
  </si>
  <si>
    <t>Realizar 5 espacios de integración en el que sensibiliza sobre la Política Pública CaliDiversidad.</t>
  </si>
  <si>
    <t>Espacios de integración de oferta pública generados</t>
  </si>
  <si>
    <t>BP2600266610201</t>
  </si>
  <si>
    <t>Brindar capacitación a 100 personas sobre la Política Pública de CaliDiversidad.</t>
  </si>
  <si>
    <t>Estrategias para el fortalecimiento del proyecto de vida a través del desarrollo de habilidades, capacidades e iniciativas de la población LGBTIQ+, implementadas</t>
  </si>
  <si>
    <t>Implementación de estrategias para el fortalecimiento del proyecto de vida de la población LGBTIQ+ en Santiago de Cali</t>
  </si>
  <si>
    <t>BP26002671</t>
  </si>
  <si>
    <t>BP2600267110101</t>
  </si>
  <si>
    <t>Realizar una estrategia para el fortalecimiento del proyecto de vida en el que se capacitan a 40 personas LGBTIQ+</t>
  </si>
  <si>
    <t>BP2600267110201</t>
  </si>
  <si>
    <t>Realizar un boletín sobre la estrategia de fortalecimiento del proyecto de vida de las personas beneficiadas.</t>
  </si>
  <si>
    <t>Boletines estadísticos producidos</t>
  </si>
  <si>
    <t>Prevención y Abordaje Integral del Fenómeno de Habitabilidad en Calle</t>
  </si>
  <si>
    <t>Habitantes de y en calle atendidos anualmente en el territorio y en los centros de atención, desde un enfoque de derechos para la dignificación de la vida en calle</t>
  </si>
  <si>
    <t>Fortalecimiento del Sistema de Atención Integral a los ciudadanos habitantes de y en calle de Santiago de  Cali</t>
  </si>
  <si>
    <t>BP26003135</t>
  </si>
  <si>
    <t>BP2600313510101</t>
  </si>
  <si>
    <t>Atender anualmente a 3.820 habitantes de y en calle en el territorio a través de  la oferta social.</t>
  </si>
  <si>
    <t>En lo que respecta del periodo de enero a marzo, se realizaron 251 orientaciones y atenciones para el restablecimiento de derechos a habitantes de calle, además de 210 acciones de orientación comunitaria para la sensibilización e inclusión social. Se brindaron 35 acciones de orientaciones y asistencia técnica al personal asistencial y médico, junto con 51 acciones de atención en Jornadas de Atención Integral. Adicionalmente, se llevaron a cabo 14 acciones de asistencia técnica y acompañamiento con organizaciones de la Red de Amigos de la Calle que atienden a la población en situación de HHCC. Por lo tanto, se ha mantenido la atención a 561 habitantes de y en calle.</t>
  </si>
  <si>
    <t>BP2600313510201</t>
  </si>
  <si>
    <t>Fortalecer redes de apoyo para la inclusión social de 200 ciudadanos habitantes de y en calle, y, para el abordaje integral del fenómeno social.</t>
  </si>
  <si>
    <t xml:space="preserve">Personas asistidas en temas  de desarrollo de habilidades no cognitivas </t>
  </si>
  <si>
    <t xml:space="preserve">De enero a marzo, se realizaron 4 reuniones de articulaciones interinstitucionales con las dependencias DAGMA y UASP para determinar estrategia de abordaje del fenomeno social de habitabilidad en calle en el espacio público, generando pedagogía en la población habitante de calle sobre temas de cuidado ambiental y mayor aprovechamiento de material reciclable. </t>
  </si>
  <si>
    <t>Todas las Mujeres Todos los Derechos</t>
  </si>
  <si>
    <t>Casa Matria al servicio de las mujeres operando</t>
  </si>
  <si>
    <t>Mejoramiento integral de Casa Matria y su sede para la atención de mujeres víctimas de violencia basadas en género en Santiago de Cali</t>
  </si>
  <si>
    <t>BP26004497</t>
  </si>
  <si>
    <t>BP2600449710101</t>
  </si>
  <si>
    <t>Adecuar 2 sedes para el servicio de las mujeres (Casa Matria Janambú y Casa Matria Oriente).</t>
  </si>
  <si>
    <t>Sedes adecuadas</t>
  </si>
  <si>
    <t>BP2600449710301</t>
  </si>
  <si>
    <t>Poner en operación dos espacios destinados a la oferta pública para las mujeres.</t>
  </si>
  <si>
    <t>Personas vinculadas a la estrategia de prevención de violencias contra la mujer e intervención social desde la perspectiva de género</t>
  </si>
  <si>
    <t>Fortalecimiento de la estrategia de prevención de violencias basadas en género en Santiago de   Cali</t>
  </si>
  <si>
    <t>BP26003031</t>
  </si>
  <si>
    <t>BP2600303110101</t>
  </si>
  <si>
    <t>Vincular a 1.500 personas a la estrategia de prevención de violencias como parte de una oferta publica de integración social.</t>
  </si>
  <si>
    <t xml:space="preserve">De enero a marzo, se desarrolló la agenda distrital de la mujer donde se vincularon las acciones comunitarias de las mujeres. Esta agenda posibilitó el posicionamiento de la Subsecretaría de Equidad de Género  y se desarrollaron ofertas de servicios  en 21 territorios y entidades de Cali , donde se implementó el kiosko violeta , además de 3 sensibilizaciones de 1 hora en tres espacios de empresa privada y se vincularon 60 personas. </t>
  </si>
  <si>
    <t>BP2600303110201</t>
  </si>
  <si>
    <t>Realizar 8 estrategias territoriales  de comunicación  que fortalezcan los procesos de prevención de violencias basadas en género.</t>
  </si>
  <si>
    <t>Estrategias de promoción de la garantía de derechos implementadas</t>
  </si>
  <si>
    <t>Apoyo a la estrategia de prevención de violencias contra la mujer desde el enfoque de género en la Comuna 1 de Santiago de Cali</t>
  </si>
  <si>
    <t>BP26005070</t>
  </si>
  <si>
    <t>BP2600507020101</t>
  </si>
  <si>
    <t>Beneficiar a 100 mujeres a través de la estrategia de prevención de violencias contra la mujer.</t>
  </si>
  <si>
    <t>BP2600507020201</t>
  </si>
  <si>
    <t>Brindar apoyo a 100 mujeres, a través de las iniciativas productivas.</t>
  </si>
  <si>
    <t>Unidades productivas capitalizadas</t>
  </si>
  <si>
    <t>Mujeres víctimas de violencias basadas en género y su núcleo familiar con atención y orientación desde el enfoque de género y diferencial</t>
  </si>
  <si>
    <t>Asistencia primaria a mujeres víctimas de violencias basadas en género en el Distrito de Santiago de Cali</t>
  </si>
  <si>
    <t>BP26003027</t>
  </si>
  <si>
    <t>BP2600302710201</t>
  </si>
  <si>
    <t>Brindar atención a 850 mujeres víctimas de violencia basada en género con atención integral y que son usuarias del sistema.</t>
  </si>
  <si>
    <t>De los 850 requerimientos que en promedio se reciben anualmente, durante el periodo de enero a marzo,  se reportó un total  de 131 atenciones integral día, los cuales fueron atendidos de manera satisfactoria. Por lo tanto, el avance fue del 100%.</t>
  </si>
  <si>
    <t>Apoyo al proceso de atención integral modalidad acogida a mujeres y su núcleo familiar en Santiago de Cali</t>
  </si>
  <si>
    <t>BP26003028</t>
  </si>
  <si>
    <t>BP2600302810101</t>
  </si>
  <si>
    <t>Dotar un centro comunitario para la atención integral a mujeres víctimas de violencias basadas en género.</t>
  </si>
  <si>
    <t>BP2600302810201</t>
  </si>
  <si>
    <t>Brindar atención y orientación a 140 mujeres víctimas de violencias basadas en género.</t>
  </si>
  <si>
    <t>De los 140 requerimientos que en promedio se reciben anualmente, durante el periodo de enero a marzo se reportó un total de 8 en cuanto atención en modalidad de acogida, los cuales fueron atendidos de manera satisfactoria. En este proceso, el equipo realizó las respuestas a las solicitudes de servicio y las sustentaciones de los casos que no aplican a la medida de atención por el alcance de la intervención y misionalidad. Por lo tanto, el avance para este periodo fue del 100%.</t>
  </si>
  <si>
    <t>Estrategias de investigación sobre género y prevención de violencias contra las mujeres en contextos educativos, sociales y laborales diseñados e implementados</t>
  </si>
  <si>
    <t>Investigación y Gestión del Conocimiento en Género y Violencias Contra las Mujeres en Contextos Comunitarios y Sociales en Santiago de Cali</t>
  </si>
  <si>
    <t>BP26003528</t>
  </si>
  <si>
    <t>BP2600352810201</t>
  </si>
  <si>
    <t>Estrategias de investigación sobre género y prevención de violencias contra las mujeres en contextos educativos, sociales y laborales diseñadas e implementadas</t>
  </si>
  <si>
    <t>Realizar un documento metodológico.</t>
  </si>
  <si>
    <t>Sistema Distrital del Cuidado, diseñado y en proceso de implementación</t>
  </si>
  <si>
    <t>Implementación de un Sistema Distrital de Cuidados desde el enfoque de género y diferencial para Santiago de Cali</t>
  </si>
  <si>
    <t>BP26003735</t>
  </si>
  <si>
    <t>BP2600373510101</t>
  </si>
  <si>
    <t>Brindar capacitación a 700 personas.</t>
  </si>
  <si>
    <t>En el periodo de enero a marzo,  el equipo del Sistema Distrital de Cuidado (SIDICU) realizó dos talleres dirigidos a mujeres cuidadoras de la comuna 15, en el marco de la territorialización del SIDICU, con el objetivo de propiciar espacios de respiro y bienestar a las mujeres cuidadoras. El primero, contó con actividades de movimiento corporal para generar descarga física, meditación para un descanso profundo y ejercicios de aroma terapia. El segundo, teniendo en cuenta la Ley 1257, estuvo orientado en socializar los tipos de violencia, ruta de atención y la importancia de los cuidados entre mujeres. En este proceso se capacitaron a un total de 20 mujeres.</t>
  </si>
  <si>
    <t>BP2600373510201</t>
  </si>
  <si>
    <t>Generar un espacio de integración de oferta pública en el que se implementa el Sistema Distrital del Cuidado.</t>
  </si>
  <si>
    <t>En el periodo de enero a marzo, se realizaron espacios de socialización y concertación con la JAL de la comuna 15 y la JAC del barrio Laureano Gómez para pilotaje de CuidARTE, además se realizaron espacios de concertación de oferta con organizaciones de cooperación internacional y sector academía para fortalecimiento de gestión del conocimiento del SIDICU.</t>
  </si>
  <si>
    <t>Seguridad y Soberanía Alimentaria</t>
  </si>
  <si>
    <t>Población atendida diariamente en comedores comunitarios y otros modelos de asistencia alimentaria con enfoque de corresponsabilidad</t>
  </si>
  <si>
    <t>Fortalecimiento del programa para el mejoramiento de la calidad de vida de la población en pobreza extrema a traves de la seguridad alimentaria y el acompañamiento psicosocial en Santiago de Cali</t>
  </si>
  <si>
    <t>BP26004132</t>
  </si>
  <si>
    <t>BP2600413210101</t>
  </si>
  <si>
    <t>Atender a 45.322 personas en vulnerabilidad alimentaria a traves de comedores comunitarios y otras modalidades de asistencia alimentaria.</t>
  </si>
  <si>
    <t>Personas beneficiadas con raciones de alimentos</t>
  </si>
  <si>
    <t>En el periodo correspondiente de enero a marzo, se inició la apertura de 51 comedores atendidos, en los cuales se entregaron raciones, incluso, durante los fines de semana. Para un total de 16.520 beneficiarios.</t>
  </si>
  <si>
    <t>BP2600413210201</t>
  </si>
  <si>
    <t>Beneficiar a 17.663 personas con la oferta social en terminos de intervención psicosocial y apoyo logístico.</t>
  </si>
  <si>
    <t>En lo que respecto de enero a marzo, se realizaron acciones de alistamiento para el desarrollo de las actividades de intervención psicosocial y de capacitación a las gestoras.</t>
  </si>
  <si>
    <t>Raciones entregadas a niños y niñas atendidos en recuperación nutricional</t>
  </si>
  <si>
    <t>Fortalecimiento del programa para la recuperación nutricional de niños y niñas en condición de desnutrición crítica en Santiago de Cali</t>
  </si>
  <si>
    <t>BP26004725</t>
  </si>
  <si>
    <t>BP2600472510101</t>
  </si>
  <si>
    <t>Entregar 148.320 raciones en el que se benefician a 275 niños y niñas en recuperación nutricional.</t>
  </si>
  <si>
    <t>BP2600472510201</t>
  </si>
  <si>
    <t>Realizar un documento de investigacion sobre una dinámica multicausal que inciden en la desnutrición de los niños y niñas.</t>
  </si>
  <si>
    <t>De enero a marzo, se adelantó la minuta patrón y análisis nutricional de los alimentos que componen el paquete alimentario, así como el inicio en la construcción del documento.</t>
  </si>
  <si>
    <t>Personal de la Administración Pública con formación en perspectiva de género y enfoque diferencial</t>
  </si>
  <si>
    <t>Apoyo para la transversalización de la política pública de mujer en Santiago de Cali</t>
  </si>
  <si>
    <t>BP26003733</t>
  </si>
  <si>
    <t>Subsecretaría Equidad de Género</t>
  </si>
  <si>
    <t>BP2600373310101</t>
  </si>
  <si>
    <t xml:space="preserve">Apoyar la participación de 6 organismos asistidos técnicamente. </t>
  </si>
  <si>
    <t>De enero a marzo, se realizó la asistencia técnica a dos organismos de la Alcaldía de Cali (Secretaria de  Vivienda y Hábitat y Secretaría de Deporte y Recreación) con el objetivo de presentar la estrategia de transversalización del enfoque de género para las mujeres  en los procesos de formulación y gestión de proyectos que puede implementar cada organismo.</t>
  </si>
  <si>
    <t>BP2600373310201</t>
  </si>
  <si>
    <t>Capacitar a 150 mujeres en procesos de la administración en Perspectiva de Género, enfoques diferenciales, marcos normativos y Políticas de Equidad de Género.</t>
  </si>
  <si>
    <t xml:space="preserve">En el periodo de enero a marzo, se avanzó con 3 funcionarios en la presentación sobre el proceso de incorporar el enfoque de género para las mujeres en la formulación y gestion de proyectos. </t>
  </si>
  <si>
    <t>Red de gestión de información y del conocimiento diseñado y operado al interior del organismo</t>
  </si>
  <si>
    <t>Fortalecimiento de la red de gestión de información de la Secretaría de Bienestar Social de Santiago de Cali</t>
  </si>
  <si>
    <t>BP26003384</t>
  </si>
  <si>
    <t>Unidad de Apoyo a la Gestión</t>
  </si>
  <si>
    <t>BP2600338410101</t>
  </si>
  <si>
    <t xml:space="preserve">Operar un sistema sobre la red de gestión de información que permita una cultura organizacional sólida de la Secretaría de Bienestar Social. </t>
  </si>
  <si>
    <t xml:space="preserve">Durante el periodo de enero a marzo, se inició con el proceso de fortalecimiento de cultura organizacional, a través de la socialización del conocimiento tácito y explícito al interior de la Unidad de Apoyo a la Gestión. </t>
  </si>
  <si>
    <t>Gestión de Información Estadística y Geográfica para la Evaluación de Resultados.</t>
  </si>
  <si>
    <t>Políticas Públicas sociales con monitoreo y seguimiento</t>
  </si>
  <si>
    <t>Consolidación del observatorio de políticas sociales de cali</t>
  </si>
  <si>
    <t>BP26002760</t>
  </si>
  <si>
    <t>BP2600276010101</t>
  </si>
  <si>
    <t xml:space="preserve">Realizar un documento de lineamiento tecnico elaborado con una metodología para el seguimiento, monitoreo y evaluación de 9 Políticas Publicas  Sociales. </t>
  </si>
  <si>
    <t>De enero a marzo, se ha avanzado en el proceso de revisión y definición de los productos que generará el Observatorio de Políticas Sociales que contendrá el documento técnico.</t>
  </si>
  <si>
    <t>BP2600276010102</t>
  </si>
  <si>
    <t>Implementar un sistema de información para el seguimiento y monitoreo de 9 Políticas Públicas.</t>
  </si>
  <si>
    <t>En el periodo referente de enero a marzo se solicitó a los organismos de la Alcaldía de Santiago de Cali la información del seguimiento y monitoreo de siete Políticas Sociales a corte del 30 de diciembre del año 2023. Esto, a través de una solicitud formal, para que los enlaces de las Políticas Públicas puedan consolidar, y así facilitar el análisis y publicación correspondiente.</t>
  </si>
  <si>
    <t>BP2600276010201</t>
  </si>
  <si>
    <t>Realizar capacitación a 10 personas en relación al sistema de seguimiento.</t>
  </si>
  <si>
    <t>En el periodo de enero a marzo, se ha realizado el proceso de alistamiento para los talleres de capacitación.</t>
  </si>
  <si>
    <t>Control y seguimiento de la política pública de las mujeres de Santiago de Cali</t>
  </si>
  <si>
    <t>BP26003734</t>
  </si>
  <si>
    <t>BP2600373410101</t>
  </si>
  <si>
    <t>Realizar un documento para el seguimiento de Politica Pública de las Mujeres..</t>
  </si>
  <si>
    <t xml:space="preserve">Documentos de politica elaborados </t>
  </si>
  <si>
    <t>BP2600373410201</t>
  </si>
  <si>
    <t>Realizar un documento  metodologico de seguimiento  y actualizacion de la Politica Pública de mujeres.</t>
  </si>
  <si>
    <t>Cali, solidaria por la vida</t>
  </si>
  <si>
    <t xml:space="preserve">Dignificando la Vivienda  </t>
  </si>
  <si>
    <t>Soluciones habitacionales VIP y VIS generadas</t>
  </si>
  <si>
    <t>Implementación de proyectos habitacionales VIP y VIS en Santiago de Cali</t>
  </si>
  <si>
    <t>BP26002730</t>
  </si>
  <si>
    <t>BP2600273010101</t>
  </si>
  <si>
    <t xml:space="preserve">Elaborar 1 documento técnico que soporte la generación de oferta habitacional </t>
  </si>
  <si>
    <t>Para la generación de Oferta Habitacional, en el marco de la formulación del nuevo Plan de Desarrollo 2024-2027, se estima un indicador que, apartir de estudios y analisis, generará aproximadamente 6250 unidades de vivienda</t>
  </si>
  <si>
    <t>Secretaria de Vivienda Social y Habitat - Subsecretaria de Gestion de Suelo y Oferta de Vivienda (SGOV)</t>
  </si>
  <si>
    <t>BP2600273010201</t>
  </si>
  <si>
    <t xml:space="preserve">Realizar 1 estudio técnico/jurídico a los hogares postulantes al Subsidio Distrital de Vivienda </t>
  </si>
  <si>
    <t>Entidades territoriales asistidas técnicamente</t>
  </si>
  <si>
    <t>Se adelantó la preparación financiera, técnica y juridíca para el proceso de convocatoria para la  asignación de 107 Subsidios Distritales de Vivienda</t>
  </si>
  <si>
    <t xml:space="preserve">BP2600273010202 </t>
  </si>
  <si>
    <t xml:space="preserve">Asignar y/o transferir 107 Subsidios Distritales de Vivienda </t>
  </si>
  <si>
    <t>Hogares beneficiados con adquisición de vivienda</t>
  </si>
  <si>
    <t>Se adelantaron gestiones administrativas relacionadas con el trámite del traslado de los recursos de la vigencia 2024 al Fondo Especial Vivienda FEV,  mediante la Resolución SVSH No.4147.010.21.013, entidad encargada de administrar y otorgar el Subsidio Distrital de Vivienda</t>
  </si>
  <si>
    <t>Suelo gestionado para construcción de vivienda VIS y VIP</t>
  </si>
  <si>
    <t>Incremento del suelo gestionado para el desarrollo de proyectos de vivienda VIP, VIS y hábitat en Santiago de Cali</t>
  </si>
  <si>
    <t>BP26003629</t>
  </si>
  <si>
    <t>BP2600362910101</t>
  </si>
  <si>
    <t xml:space="preserve">Realizar adecuaciones sobre terrenos  para el desarrollo de proyectos habitacionales y de habitat </t>
  </si>
  <si>
    <t>Bienes fiscales saneados y titulados</t>
  </si>
  <si>
    <t>BP2600362910201</t>
  </si>
  <si>
    <t xml:space="preserve">Analizar la información técnica en el proceso de generación de suelo para el desarrollo de proyectos habitacionales y de habitat </t>
  </si>
  <si>
    <t>Se analizó la información técnica y juridica para la implementación del proceso de generación de suelo en los bienes inmuebles localizados en Cañaveralejo, Laguna del Pondaje, Charco Azul y sectores Comuna 3 y 21, para el desarrollo de proyectos habitacionales y de hábitat</t>
  </si>
  <si>
    <t>Viviendas mejoradas en zona urbana y/o rural</t>
  </si>
  <si>
    <t>Apoyo para mejoramiento de Vivienda en Santiago de Cali</t>
  </si>
  <si>
    <t>BP26002664</t>
  </si>
  <si>
    <t>BP2600266410101</t>
  </si>
  <si>
    <t>Realizar el estudio técnico/jurídico a 1000 hogares postulantes en el proceso de mejoramiento de vivienda</t>
  </si>
  <si>
    <t xml:space="preserve">PQR atendidas </t>
  </si>
  <si>
    <t>Se dio respuesta técnica y jurídica a 40 PQRS, a través del sistema Orfeo y correo institucional info.mejora.vivienda@cali.gov.co, se brindó atención a 30 ciudadanos en el marco de mejoramientos de vivienda</t>
  </si>
  <si>
    <t>Secretaría de Vivienda Social y Habitat - Subsecretaria de Mejoramiento Integral y Legalización (SMIL)</t>
  </si>
  <si>
    <t>BP2600266410201</t>
  </si>
  <si>
    <t>Asignar y/o transferir 160 Subsidios Distritales de Vivienda en la modalidad Mejoramiento de Vivienda</t>
  </si>
  <si>
    <t>Hogares beneficiados con mejoramiento de una vivienda</t>
  </si>
  <si>
    <t xml:space="preserve">Estudio de tierras ejidales y lotes del distrito realizado </t>
  </si>
  <si>
    <t>Estudio de tierras ejidales, baldios y fiscales de Santiago de Cali</t>
  </si>
  <si>
    <t>BP26002768</t>
  </si>
  <si>
    <t>BP2600276810101</t>
  </si>
  <si>
    <t>Elaborar 1 documento del estado actual de los terrenos ejidos, baldíos y fiscales en Santiago de Cali</t>
  </si>
  <si>
    <t>Se adelantaron estudios de títulos y actualizaciones a la información jurídica y técnica de los predios ejidos, fiscales y Baldíos, a través de la compilación de la información jurídica del ejido Legado Salinas, el fiscal Los Chorros, el fiscal Puerto Mallarino, actualizaciones al polígono del ejido Cañaveralejo, información que contribuirá a la elaboración del documento metodológico</t>
  </si>
  <si>
    <t>BP2600276810201</t>
  </si>
  <si>
    <t>Elaborar 1 documento para definir la titularidad de los terrenos ejidos, baldíos y fiscales en Santiago de Cali</t>
  </si>
  <si>
    <t>Se adelantaron estudios de títulos y actualizaciones a la información jurídica y técnica de los predios ejidos, fiscales y Baldíos, a través de la compilación de la información jurídica del ejido Legado Salinas, el fiscal Los Chorros, el fiscal Puerto Mallarino, actualizaciones al polígono del ejido Cañaveralejo, información que contribuirá a la elaboración del documento investigativo</t>
  </si>
  <si>
    <t>Mejoramiento Integral del Hábitat</t>
  </si>
  <si>
    <t xml:space="preserve">Asentamientos humanos de desarrollo incompleto y/o precarios intervenidos </t>
  </si>
  <si>
    <t>Contribución al mejoramiento integral del habitat de asentamientos humanos en Santiago de Cali</t>
  </si>
  <si>
    <t>BP26002676</t>
  </si>
  <si>
    <t>BP2600267610101</t>
  </si>
  <si>
    <t>Realizar 1 actualización de la base de datos de los Asentamientos Humanos Precarios georreferenciados</t>
  </si>
  <si>
    <t xml:space="preserve"> Número de documentos</t>
  </si>
  <si>
    <t>BP2600267610102</t>
  </si>
  <si>
    <t>Armonizar la implementación de los ejes de la política pública de mejoramiento integral del hábitat en Asentamientos Humanos Precarios</t>
  </si>
  <si>
    <t>BP2600267610201</t>
  </si>
  <si>
    <t>Intervenir 3 Asentamientos Humanos Precarios priorizados</t>
  </si>
  <si>
    <t xml:space="preserve"> Número de sedes</t>
  </si>
  <si>
    <t>Implementación de proyectos de mejoramiento integral de hábitat en Santiago de  Cali</t>
  </si>
  <si>
    <t>BP26004131</t>
  </si>
  <si>
    <t>BP2600413110101</t>
  </si>
  <si>
    <t xml:space="preserve">Realizar 1 documento técnico de gestión por cada proyecto integral de habitat </t>
  </si>
  <si>
    <t>En el marco del Eje 3 de la Politica Pública Mi Habitát, se determinó la intervención de 3 parques correspondientes a espacios públicos en la comuna 18 y se realizó lanzamiento del programa "Mejorando Mi Habitát" que logrará legalizaciones urbanisticas en AHDI de las comunas 1, 4, 6, 13, 14, 15, 18, 20, 21</t>
  </si>
  <si>
    <t>BP2600413110201</t>
  </si>
  <si>
    <t xml:space="preserve">Realizar 30.000 m2 en obras de intervención en los proyectos integrales de habitat </t>
  </si>
  <si>
    <t>Espacio público construido</t>
  </si>
  <si>
    <t>Se procedió a la compilación de documentos requeridos para el trámite de la licencia de intervención y ocupación de espacio público, información base para la ejecución de obras</t>
  </si>
  <si>
    <t xml:space="preserve">Reducción del Riesgo </t>
  </si>
  <si>
    <t xml:space="preserve">Hogares con subsidios municipal de vivienda de interés social, modalidad arrendamiento proceso reasentamiento </t>
  </si>
  <si>
    <t>Subsidio de vivienda en la modalidad arrendamiento por proceso de reasentamiento en el marco del Proyecto Plan Jarillón en Santiago de  Cali</t>
  </si>
  <si>
    <t>BP26002720</t>
  </si>
  <si>
    <t>BP2600272010101</t>
  </si>
  <si>
    <t>Realizar 1 estudio técnico/jurídico a los hogares postulantes al Subsidio Distrital de Vivienda la modalidad arrendamiento por proceso de reasentamiento en el marco del Proyecto Plan Jarillón en Santiago de Cali</t>
  </si>
  <si>
    <t>Entidades territoriales asistidas tecnicamente</t>
  </si>
  <si>
    <t>Se adelantó la preparación financiera, técnica y juridíca para el proceso de asignación de 219 Subsidios Distritales de Vivienda en la modalidad arrendamiento por proceso de reasentamiento en el marco del Proyecto Plan Jarillón</t>
  </si>
  <si>
    <t>BP2600272010201</t>
  </si>
  <si>
    <t>Asignar y/o transferir 219 Subsidios Distritales de Vivienda en la modalidad arrendamiento por proceso de reasentamiento en el marco del Proyecto Plan Jarillón en Santiago de Cali</t>
  </si>
  <si>
    <t>Hogares beneficiados con arrendamiento de vivienda</t>
  </si>
  <si>
    <t>Área de asentamientos humanos en riesgo mitigable por movimientos en masa estabilizada</t>
  </si>
  <si>
    <t>Construcción de obras en zonas de ladera afectadas por movimientos en masa en Santiago de Cali</t>
  </si>
  <si>
    <t>BP26002767</t>
  </si>
  <si>
    <t>BP2600276710101</t>
  </si>
  <si>
    <t>Estabilizar 600 M2 de terrenos que presentan condiciones de riesgo mitigable</t>
  </si>
  <si>
    <t>Se encuentra en la etapa de formulación contractual de las obras de mitigación a ejecutar en la comuna 18, en los barrios legalizados urbanísticamente en la vigencia 2023 por el organismo</t>
  </si>
  <si>
    <t>BP2600276710201</t>
  </si>
  <si>
    <t>Realizar Interventoría a obras de mitigación de riesgo</t>
  </si>
  <si>
    <t>Número de entidades territoriales</t>
  </si>
  <si>
    <t xml:space="preserve">Adquisición de predios con títulos justificativo de dominio en zonas de riesgo no mitigable por inundaciones </t>
  </si>
  <si>
    <t>Adquisición de predios titulados localizados en zonas de riesgo no mitigables por inundación en Santiago de  Cali</t>
  </si>
  <si>
    <t>BP26002740</t>
  </si>
  <si>
    <t>BP2600274010101</t>
  </si>
  <si>
    <t xml:space="preserve">Realizar 1 informe que describa los predios objeto de adquisión con titulo justificativo de dominio ubicados a lo largo del Jarillón del rio Cauca </t>
  </si>
  <si>
    <t>Entidades territoriales asistidas técnica y jurídicamente</t>
  </si>
  <si>
    <t>Se identificó el estado jurídico de cada predio objeto de estudio, en aras de precisar la cantidad de los mismos para su adquisición mediante enajenación voluntaria y expropiación; proceso que resguardará y protegerá el dique del Jarillón, que salvaguardara al Distrito de Santiago de Cali, de eventos de inundabilidad.</t>
  </si>
  <si>
    <t>BP2600274010301</t>
  </si>
  <si>
    <t xml:space="preserve">Realizar 1 informe que describa las condiciones financieras y mínimas de habitabilidad de las compensaciones entregadas por Plan Jarillon a los beneficiarios </t>
  </si>
  <si>
    <t>Hogares con planes de reasentamiento para hogares localizados en zonas de riesgo no mitigables formulados con procesos de concertación y garantía de derechos</t>
  </si>
  <si>
    <t>Caracterización de hogares localizados en zonas de riesgo no mitigable en asentamientos humanos de desarrollo incompleto de Santiago de   Cali</t>
  </si>
  <si>
    <t>BP26002713</t>
  </si>
  <si>
    <t>BP2600271310101</t>
  </si>
  <si>
    <t>Realizar 1 documento que contenga la información recopilada en la caracterización socioeconomica de los hogares localizados en zonas de riesgo no mitigables</t>
  </si>
  <si>
    <t>Se adelantaron acciones interinstitucionales con la Oficina de Gestión del Riesgo, a través de mesas de trabajo para dar respuestas y/o concertaciones a las peticiones presentadas por los ciudadanos de los AHDI del Distrito Especial de Santiago de Cali</t>
  </si>
  <si>
    <t>Proceso servicio de vivienda social certificado bajo la ISO 9001:2015</t>
  </si>
  <si>
    <t>Fortalecimiento del Sistema de Gestión de Calidad en la Secretaria de Vivienda Social y Habitat de Cali</t>
  </si>
  <si>
    <t>BP26002853</t>
  </si>
  <si>
    <t>BP2600285320101</t>
  </si>
  <si>
    <t>Certificar una línea de servicio para la Secretaría de Vivienda Social y Habitat</t>
  </si>
  <si>
    <t>Sistema de Gestión implementado</t>
  </si>
  <si>
    <t xml:space="preserve">Se está definiendo las líneas de servicio a certificar como “Subsidio Distrital de Vivienda” y/o “Mejoramiento Integral del Hábitat”, que permitirá fortalecer y optimizar la gestión pública </t>
  </si>
  <si>
    <t xml:space="preserve"> Secretaría de Vivienda Social y Habitat  - Unidad de Apoyo a la Gestión (UAG)</t>
  </si>
  <si>
    <t>Sistema de Gestión Documental de la Secretaría de Vivienda Social y Hábitat con expedientes sistematizados y organizados</t>
  </si>
  <si>
    <t>Apoyo en la sistematización y organización del sistema de Gestión documental de la secretaria de vivienda social y hábitat en Santiago de   Cali</t>
  </si>
  <si>
    <t>BP26002851</t>
  </si>
  <si>
    <t>BP2600285120101</t>
  </si>
  <si>
    <t>Sistematizar y organizar 1748 expedientes</t>
  </si>
  <si>
    <t>Se organizaron 430 expedientes, de conformidad con las normas de gestión documental , de los cuales 400 corresponden al programa de Legalización y Titulación de predios y 30 a expedientes de contratación, registrados en el FUID</t>
  </si>
  <si>
    <t>BP2600285120201</t>
  </si>
  <si>
    <t>Registrar datos/información en sistemas de información</t>
  </si>
  <si>
    <t xml:space="preserve">Sistemas de información  implementados </t>
  </si>
  <si>
    <t xml:space="preserve">Se actualizaron los datos en las plataformas SAP, SPI, Aplicativo Verde, Orfeo </t>
  </si>
  <si>
    <t>Cartera por crédito de vivienda VIP – VIS, recuperado</t>
  </si>
  <si>
    <t>Fortalecimiento de la gestión para el recaudo de la cartera VIP y VIS en Santiago de Cali</t>
  </si>
  <si>
    <t>BP26002849</t>
  </si>
  <si>
    <t>BP2600284920101</t>
  </si>
  <si>
    <t>Recuperación de la cartera por crédito de vivienda VIP - VIS</t>
  </si>
  <si>
    <t>Recaudar 563 millones de pesos de cartera</t>
  </si>
  <si>
    <t>Hogares beneficiados con adquisición de vivienda </t>
  </si>
  <si>
    <t>El recaudo acumulado fue de  $ 96.271.254, el cual impacto del 13% de los deudores, beneficiando 560 habitantes de las comunas 4, 12 14, 15, 17, 21</t>
  </si>
  <si>
    <t>BP2600284920201</t>
  </si>
  <si>
    <t xml:space="preserve">Registrar datos/información en sistemas de información </t>
  </si>
  <si>
    <t>Sistema de Información Implemetado</t>
  </si>
  <si>
    <t>El proceso de Depuración Contable alcanzó una incorporación en el saldo de la cartera atrasada del 0.05% , que equivale a una incorporación por el valor de $3.9 millones pesos</t>
  </si>
  <si>
    <t>Economía Incluyente, Creativa y Clústeres Estratégicos</t>
  </si>
  <si>
    <t>Territorios Creativos</t>
  </si>
  <si>
    <t>Parque de las cocinas, bebidas tradicionales y artesanías del Pacífico “Parque Pacífico” construido</t>
  </si>
  <si>
    <t>Implementación del parque de las cocinas, bebidas tradicionales y artesanías del pacífico “parque pacífico” de Santiago</t>
  </si>
  <si>
    <t>BP26004728</t>
  </si>
  <si>
    <t>Secretaría de Cultura - Subsecretaria de artes, creación y promoción</t>
  </si>
  <si>
    <t>BP2600472820101</t>
  </si>
  <si>
    <t>Elaborar un documento de lineamientos técnicos para la operación colaborativa del "Parque pacífico"</t>
  </si>
  <si>
    <t>En el marco de este producto, se elaboró el Plan de Gobernanza del Parque Pacifico y  se realizó reunión con la Autoridad Nacional de Licencias Ambientales ANLA con el objetivo de verificar las condiciones ambientales del Parque. También se programó mesa técnica con el DAGMA para buscar la viabilidad de la restitución arbórea.</t>
  </si>
  <si>
    <t>BP2600472820102</t>
  </si>
  <si>
    <t>Realizar 4 eventos para la promociono de actividades culturales</t>
  </si>
  <si>
    <t>Eventos de promoción de actividades culturales realizados</t>
  </si>
  <si>
    <t>BP2600472820201</t>
  </si>
  <si>
    <t>Construir  la fase 2, del parque pacífico</t>
  </si>
  <si>
    <t xml:space="preserve">Centros culturales construidos y dotados </t>
  </si>
  <si>
    <t>Organizaciones, grupos, artistas y/o productores de espectáculos públicos de las artes escénicas apoyados</t>
  </si>
  <si>
    <t>Fortalecimiento de la oferta de espectáculos públicos de las artes escénicas de  Cali</t>
  </si>
  <si>
    <t>BP26002886</t>
  </si>
  <si>
    <t>BP2600288610101</t>
  </si>
  <si>
    <t>Otorgar 5 estímulos, para mejorar o fortalecer  escenarios  de  Organizaciones  productoras de espectáculos públicos de las artes escénicas</t>
  </si>
  <si>
    <t>Estímulos otorgados</t>
  </si>
  <si>
    <t>Se avanzó con la proyección de actos administrativos relacionados con la administración, seguimiento y usos de los recursos correspondientes a la contribución parafiscal de los espectáculos públicos, seguimiento a los tres (3) proyectos beneficiarios de estos recursos  y reportes del avance de estas iniciativas en el Portal Único de Espectáculos Públicos  de las Artes Escénicas - PULEP del Ministerio de Cultura.</t>
  </si>
  <si>
    <t>Posicionamiento Local en el Ámbito Internacional</t>
  </si>
  <si>
    <t>Marca de Ciudad para un Distrito Especial</t>
  </si>
  <si>
    <t>Festivales de talla internacional realizados anualmente</t>
  </si>
  <si>
    <t>Fortalecimiento de Festivales de talla internacional con enfoque en lectura, escritura y oralidad en Santiago de  Cali</t>
  </si>
  <si>
    <t>BP26003677</t>
  </si>
  <si>
    <t>Secretaría de Cultura - Subsecretaria de patrimonio, bibliotecas e infraestructura</t>
  </si>
  <si>
    <t>BP2600367710101</t>
  </si>
  <si>
    <t>Realizar 2 encuentros artísticos y culturales de talla internacional</t>
  </si>
  <si>
    <t>Número de encuentros</t>
  </si>
  <si>
    <t>Fortalecimiento del Festival de Música del Pacífico Petronio Álvarez de Santiago de  Cali</t>
  </si>
  <si>
    <t>BP26004281</t>
  </si>
  <si>
    <t>BP2600428110101</t>
  </si>
  <si>
    <t>Realizar 1 evento de promoción de actividades culturales de talla internacional</t>
  </si>
  <si>
    <t>Se dio apertura a las inscripciones del componente de la muestra de expresiones tradicionales y a la convocatoria de semilleros de música tradicional “Petronito”, y se han socializado los términos de referencia de las convocatorias a los grupos de valor interesados en postularse. También se ha revisado el cronograma proyectado para los zonales, la propuesta de homenajeados, el proceso de socialización y la conformación de los subcomités de los componentes Académico, muestras y música.</t>
  </si>
  <si>
    <t>Fortalecimiento de festivales de talla internacional realizados anualmente en Santiago de  Cali</t>
  </si>
  <si>
    <t>BP26004731</t>
  </si>
  <si>
    <t>BP2600473120101</t>
  </si>
  <si>
    <t>Realizar 4 documentos de lineamientos técnicos, relacionados  con los eventos de promoción cultural realizados</t>
  </si>
  <si>
    <t xml:space="preserve">15/2/2024
</t>
  </si>
  <si>
    <t>Se han realizado reuniones para establecer la programación, el presupuesto y concepto de los festivales 2024: Sucursal Fest, M. Montaño, Teatro, Mundial de Salsa, Cine y Petronio Álvarez. Se estableció la estrategia de agencia para el lanzamiento del Plan Cultura 2024. Se publicó la convocatoria para la conformación del comité conceptual del festival de Teatro.</t>
  </si>
  <si>
    <t>BP2600473120201</t>
  </si>
  <si>
    <t>Realizar 4 encuentro artístico y cultural de talla internacional</t>
  </si>
  <si>
    <t>Artistas circulando a nivel internacional</t>
  </si>
  <si>
    <t>Apoyo a la internacionalización de las manifestaciones artísticas de Santiago de  Cali</t>
  </si>
  <si>
    <t>BP26002818</t>
  </si>
  <si>
    <t>BP2600281810101</t>
  </si>
  <si>
    <t>Poner en circulación internacional  los contenidos artísticos y culturales, de 25 artistas locales</t>
  </si>
  <si>
    <t>Contenidos culturales  en circulación</t>
  </si>
  <si>
    <t>BP2600281810201</t>
  </si>
  <si>
    <t xml:space="preserve">Realizar  eventos  de  promoción de 15 actividades artísticas  y culturales </t>
  </si>
  <si>
    <t xml:space="preserve"> Atención Integral a las Víctimas del Conflicto</t>
  </si>
  <si>
    <t>Personas víctimas del conflicto armado, vinculadas a procesos artísticos y culturales</t>
  </si>
  <si>
    <t>Reconstrucción de la memoria cultural y artística de las organizaciones y comunidades víctimas del conflicto en Santiago de   Cali</t>
  </si>
  <si>
    <t>BP26002852</t>
  </si>
  <si>
    <t>BP2600285210101</t>
  </si>
  <si>
    <t>Realizar 2 eventos  para la promoción de la cultura de las victimas del conflicto armado</t>
  </si>
  <si>
    <t>BP2600285210201</t>
  </si>
  <si>
    <t>Asistir técnicamente  a 145 personas victimas del conflicto armado, para la reconstrucción de  su cultura</t>
  </si>
  <si>
    <t>Personas asistidas técnicamente</t>
  </si>
  <si>
    <t>Niños, niñas, mujeres gestantes y madres lactantes beneficiados con experiencias artísticas y culturales</t>
  </si>
  <si>
    <t>Ampliación de las expresiones artísticas en la primera infancia, mujeres gestantes y madres lactantes de  Cali</t>
  </si>
  <si>
    <t>BP26002885</t>
  </si>
  <si>
    <t>BP2600288510101</t>
  </si>
  <si>
    <t>Beneficiar a 128  personas, entre  Niños, niñas, mujeres gestantes y madres lactantes,  con experiencias artísticas y culturales</t>
  </si>
  <si>
    <t>Personas beneficiadas</t>
  </si>
  <si>
    <t>Se ha realizado acompañamiento a las mesas técnicas de primera infancia con el ICBF y Fiscalía con el objetivo de identificar necesidades de este grupo poblacional establecer la ruta de atención desde el sector cultural.</t>
  </si>
  <si>
    <t>BP2600288510201</t>
  </si>
  <si>
    <t>Realizar 5 encuentros para promover   el arte y la cultura en la atención de la primera infancia</t>
  </si>
  <si>
    <t>Encuentros realizados</t>
  </si>
  <si>
    <t>Niñas y niños, mujeres gestantes y madres lactantes beneficiadas en procesos de lectura, escritura y oralidad</t>
  </si>
  <si>
    <t>Fortalecimiento de estrategias y acciones de lectura, escritura y oralidad en niños, niñas, mujeres gestantes y madres lactantes de  Cali</t>
  </si>
  <si>
    <t>BP26002836</t>
  </si>
  <si>
    <t>BP2600283610101</t>
  </si>
  <si>
    <t>Atender a 2.566 personas entre Niñas, niños, mujeres gestantes y madres lactantes,  en procesos de lectura, escritura y oralidad</t>
  </si>
  <si>
    <t>Usuarios atendidos</t>
  </si>
  <si>
    <t>BP2600283610201</t>
  </si>
  <si>
    <t>Capacitar a 500 personas entre agentes educativos, bibliotecarios, cuidadores, mujeres gestantes y madres lactantes, en experiencias de lectura, escritura y oralidad para la primera infancia</t>
  </si>
  <si>
    <t xml:space="preserve"> Conectados con la Ciudadanía Juvenil</t>
  </si>
  <si>
    <t>Organizaciones juveniles culturales y artísticas fortalecidas con programas de creación artística y promoción del patrimonio cultural</t>
  </si>
  <si>
    <t>Fortalecimiento de las organizaciones juveniles culturales y artísticas de  Cali</t>
  </si>
  <si>
    <t>BP26002881</t>
  </si>
  <si>
    <t>BP2600288110101</t>
  </si>
  <si>
    <t>Realizar con participación de  organizaciones  juveniles artísticas y culturales, un  documento que establezca parámetros  para apoyar las  iniciativas de las  mismas  organizaciones</t>
  </si>
  <si>
    <t>Documentos Normativos realizados</t>
  </si>
  <si>
    <t>BP2600288110201</t>
  </si>
  <si>
    <t>Apoyar  el desarrollo de iniciativas culturales y artísticas  de  una organización  juvenil, con la entrega de estímulos</t>
  </si>
  <si>
    <t>Estímulos Otorgados</t>
  </si>
  <si>
    <t>Fortalecimiento a organizaciones juveniles de cultura y arte en programas de creación artística y promoción del patrimonio cultural en Santiago de Cali</t>
  </si>
  <si>
    <t>BP26002895</t>
  </si>
  <si>
    <t>BP2600289510101</t>
  </si>
  <si>
    <t xml:space="preserve">Apoyar el fortalecimiento de  5 organizaciones   juveniles culturales y artísticas, con la realización de  capacitaciones  sobre temas  patrimoniales </t>
  </si>
  <si>
    <t>Capacitaciones realizadas</t>
  </si>
  <si>
    <t>Se realizó reunión de acercamiento con los lideres de la población de juventud donde se presentó la propuesta artística y cultural  que está contemplada en el marco de este proyecto.</t>
  </si>
  <si>
    <t>BP2600289510201</t>
  </si>
  <si>
    <t>Realizar 1 publicación sobre  los  procesos  vividos  por  5 organizaciones  juveniles,  que trabajen por  la recuperación del  patrimonio  cultural</t>
  </si>
  <si>
    <t>Publicaciones realizadas</t>
  </si>
  <si>
    <t>Espacios de intercambio intergeneracional promovidos para aprovechar la experiencia y vivencia de las personas mayores</t>
  </si>
  <si>
    <t>Fortalecimiento de la oferta cultural y artística para el adulto mayor en Santiago de   Cali</t>
  </si>
  <si>
    <t>BP26002743</t>
  </si>
  <si>
    <t>BP2600274310101</t>
  </si>
  <si>
    <t>Realizar 1 evento de promoción de las actividades culturales de las   por personas mayores</t>
  </si>
  <si>
    <t>BP2600274310201</t>
  </si>
  <si>
    <t>Poner en circulación 8 contenidos artísticos y culturales de personas mayores</t>
  </si>
  <si>
    <t>Contenidos culturales en circulación</t>
  </si>
  <si>
    <t>Se realizaron reuniones con la Mesa Municipal de Adulto Mayor donde se les presentaron las actividades contempladas en este proyecto y se empezó a establecer la programación para el desarrollo de estas actividades.</t>
  </si>
  <si>
    <t xml:space="preserve"> Desarrollando Capacidades, Promoviendo Oportunidades a Población en Situación de Discapacidad</t>
  </si>
  <si>
    <t>Personas con discapacidad beneficiadas con actividades artísticas y culturales</t>
  </si>
  <si>
    <t>Desarrollo de procesos culturales para el acceso a la información y el conocimiento para la población con discapacidad de  Cali</t>
  </si>
  <si>
    <t>BP26002835</t>
  </si>
  <si>
    <t>BP2600283510101</t>
  </si>
  <si>
    <t>Atender a 1.105 personas  con discapacidad, con servicios bibliotecarios</t>
  </si>
  <si>
    <t>BP2600283510201</t>
  </si>
  <si>
    <t xml:space="preserve">Beneficiar a 1.100 personas con discapacidad, con actividades  artísticas   y culturales </t>
  </si>
  <si>
    <t>Personas  beneficiadas</t>
  </si>
  <si>
    <t>BP2600283510301</t>
  </si>
  <si>
    <t xml:space="preserve">Realizar 8 procesos de formación artística y cultural dirigidos a población con discapacidad
</t>
  </si>
  <si>
    <t>Procesos de formación atendidos</t>
  </si>
  <si>
    <t>En el maraco de este  producto se han realizado reuniones con  el objeto de estructurar el plan de trabajo de la presente vigencia, también se han atendido con servicios bibliotecarios a 508 personas en condición de discapacidad en la Sala Borges.</t>
  </si>
  <si>
    <t>Expresiones tradicionales de la población afrodescendiente promovidas</t>
  </si>
  <si>
    <t>Difusión de expresiones tradicionales afro para Santiago de  Cali</t>
  </si>
  <si>
    <t>BP26002744</t>
  </si>
  <si>
    <t>BP2600274410101</t>
  </si>
  <si>
    <t>Capacitar 10 personas de organizaciones que promueven expresiones  tradicionales de la población afrodescendiente, para fortalecer sus acciones  en torno a  las expresiones</t>
  </si>
  <si>
    <t>BP2600274410201</t>
  </si>
  <si>
    <t xml:space="preserve">Realizar eventos de promoción de 2 expresiones tradicionales de la población afrodescendientes  
</t>
  </si>
  <si>
    <t>Organizaciones, grupos e instituciones culturales que promueven valores identitarios afrodescendientes apoyadas</t>
  </si>
  <si>
    <t>Apoyo a la promoción de valores identitarios afrodescendientes en Santiago de  Cali</t>
  </si>
  <si>
    <t>BP26003678</t>
  </si>
  <si>
    <t>BP2600367810101</t>
  </si>
  <si>
    <t>Realizar 5 eventos de apoyo  a  procesos de organizaciones, grupos e instituciones  que promueven valores identitarios afrodescendientes</t>
  </si>
  <si>
    <t>BP2600367810201</t>
  </si>
  <si>
    <t>Realizar 1 publicación que visibilice valores identitarios afrodescendientes</t>
  </si>
  <si>
    <t xml:space="preserve"> Tejiendo Identidad, para el Buen Vivir de la Población y Comunidades Indígenas</t>
  </si>
  <si>
    <t>Pueblos indígenas organizados, apoyados en la recuperación de sus prácticas culturales ancestrales</t>
  </si>
  <si>
    <t>Desarrollo de acciones de salvaguarda para la conservación, visibilización de las expresiones culturales  y practicas ancestrales de pueblos indígenas organizados en Santiago de Cali</t>
  </si>
  <si>
    <t>BP26002685</t>
  </si>
  <si>
    <t>BP2600268510101</t>
  </si>
  <si>
    <t>Realizar 1 proceso  orientado al autorreconocimiento  y protección  de manifestaciones ancestrales de  7 pueblos  indígenas, presentes en Cali</t>
  </si>
  <si>
    <t>Procesos de salvaguardia efectiva del patrimonio inmaterial realizados</t>
  </si>
  <si>
    <t xml:space="preserve">En el marco de este producto, se apoyó con el ajuste a la propuesta del Capitulo Indígena con el objetivo establecer su correspondencia y alineación con el Plan de Desarrollo 2024 - 2027 sector cultura, durante este ejercicio se contó con la presencia de 8 cabildos indígenas y 1 resguardo.
</t>
  </si>
  <si>
    <t xml:space="preserve"> Espacio Público para la Integración SocioEcológica</t>
  </si>
  <si>
    <t>Espacios públicos promovidos con programación cultural</t>
  </si>
  <si>
    <t>Recuperación de espacios artísticos y culturales en la comuna 12 de Santiago de Cali</t>
  </si>
  <si>
    <t>BP26003214</t>
  </si>
  <si>
    <t>BP2600321410101</t>
  </si>
  <si>
    <t xml:space="preserve">Promover 12 espacios  públicos de  la comuna, con la realización de 12 eventos  artísticos  y culturales </t>
  </si>
  <si>
    <t>Aprovechamiento de los espacios públicos con programación cultural y artística en el Corregimiento Felidia de Cali</t>
  </si>
  <si>
    <t>BP26003241</t>
  </si>
  <si>
    <t>BP2600324110101</t>
  </si>
  <si>
    <t>Promover 1 espacio público de la comuna, con la realización  de 1 evento cultural</t>
  </si>
  <si>
    <t>Fortalecimiento de la oferta artística y cultural en los espacios públicos de Santiago de Cali</t>
  </si>
  <si>
    <t>BP26004550</t>
  </si>
  <si>
    <t>BP2600455010101</t>
  </si>
  <si>
    <t xml:space="preserve">Promover en espacios públicos la circulación de 25 contenidos culturales </t>
  </si>
  <si>
    <t xml:space="preserve">1/2/2024
</t>
  </si>
  <si>
    <t>Se ha avanzado con la identificación de espacios públicos donde se realizarán intervenciones con contenidos artísticos y culturales, con la proyección de articulación con diferentes áreas de este organismo y la planificación de la programación cultural. También se han realizado reuniones con los grupos de valor ubicados en los territorios: Bulevar de Oriente (Comunas 13, 14, 15 y 21), Barrio Obrero y Siloé con el objetivo de escuchar sus necesidades y estudiar sus propuestas.</t>
  </si>
  <si>
    <t>BP2600455010201</t>
  </si>
  <si>
    <t>Realizar eventos  para la  promoción 25 actividades culturales a  cumplir en los diferentes  espacios  públicos.</t>
  </si>
  <si>
    <t>Aprovechamiento de los espacios públicos con programación artística y cultural en la comuna 21 en Santiago de Cali</t>
  </si>
  <si>
    <t>BP26004903</t>
  </si>
  <si>
    <t>BP2600490310101</t>
  </si>
  <si>
    <t>Promover 4 espacios públicos de la comuna, con la realización  de 4 eventos culturales</t>
  </si>
  <si>
    <t>Aprovechamiento de los espacios públicos con programación cultural y artística en la comuna 14 de Santiago de Cali</t>
  </si>
  <si>
    <t>BP26004925</t>
  </si>
  <si>
    <t>BP2600492510101</t>
  </si>
  <si>
    <t>Equipamientos culturales del Distrito diseñados, con mantenimiento, construidos, adecuados, mejorados o dotación</t>
  </si>
  <si>
    <t>Mejoramiento de los equipamientos culturales de  Cali</t>
  </si>
  <si>
    <t>BP26002893</t>
  </si>
  <si>
    <t>BP2600289310101</t>
  </si>
  <si>
    <t>Intervenir con acciones de mantenimiento a 49 equipamientos culturales</t>
  </si>
  <si>
    <t>Infraestructura cultural intervenida</t>
  </si>
  <si>
    <t xml:space="preserve">A la fecha se han realizado intervenciones de mantenimiento en 5 Bibliotecas públicas: 1 Patrimonial Centenario: acompañamiento técnico en reparación de vidrio templado, 2 Centro Cultural Nuevo Latir: visita por emergencia de inundación, 3 Daniel Guillard: toma de medidas de vidrios, 4 Rigoberta Memchú: mantenimiento general y 5 La Unión: visita técnica por fallas eléctricas. </t>
  </si>
  <si>
    <t>BP2600289310201</t>
  </si>
  <si>
    <t>Realizar la adecuación de 3 equipamientos culturales</t>
  </si>
  <si>
    <t>Bibliotecas adecuadas</t>
  </si>
  <si>
    <t>BP2600289310301</t>
  </si>
  <si>
    <t>Elaborar el estudio y diseño de un equipamiento cultural</t>
  </si>
  <si>
    <t>Estudios y diseños elaborados</t>
  </si>
  <si>
    <t>Mejoramiento de los espacios y ambientes de las bibliotecas públicas de la Red en Santiago de  Cali</t>
  </si>
  <si>
    <t>BP26003676</t>
  </si>
  <si>
    <t>BP2600367610101</t>
  </si>
  <si>
    <t>Realizar la dotación de 30  bibliotecas  públicas adscritas a la  Red  de  Bibliotecas de Cali</t>
  </si>
  <si>
    <t>Infraestructuras culturales dotadas</t>
  </si>
  <si>
    <t>Mejoramiento de las bibliotecas de la red pública distrital en la comuna 3 de Santiago de Cali</t>
  </si>
  <si>
    <t>BP26004075</t>
  </si>
  <si>
    <t>BP2600407510101</t>
  </si>
  <si>
    <t xml:space="preserve">Realizar la adecuación de 1 Biblioteca Publica de la comuna 3
</t>
  </si>
  <si>
    <t>Distrito Educador</t>
  </si>
  <si>
    <t>Construyendo un Distrito Lector</t>
  </si>
  <si>
    <t>Instituciones y organizaciones con promoción de lectura, escritura y oralidad</t>
  </si>
  <si>
    <t>Fortalecimiento  institucional, organizativo y ciudadano para la promoción de lectura, escritura y oralidad en  Cali</t>
  </si>
  <si>
    <t>BP26002815</t>
  </si>
  <si>
    <t>BP2600281510101</t>
  </si>
  <si>
    <t>Atender a 3.200 personas, en el marco de procesos de  promoción de lectura, escritura y oralidad,  realizados  en coordinación  con  instituciones  y organizaciones  públicas  y privadas</t>
  </si>
  <si>
    <t>En articulación con el Observatorio de Política Pública de la Universidad ICESI y el equipo de investigadores Innovador S.A.S, se llevaron a cabo 2 mesas de trabajo dedicadas a la reestructuración del Plan Decenal de Cultura en el campo 4 - Red de Bibliotecas, en el que también se contemplan los procesos de promoción de lectura, escritura y oralidad.</t>
  </si>
  <si>
    <t>BP2600281510201</t>
  </si>
  <si>
    <t>Brindar asistencia  técnica  en promoción de lectura, escritura y oralidad, a  87  organizaciones o instituciones  de carácter público  o privado</t>
  </si>
  <si>
    <t>Asistencias técnicas realizadas</t>
  </si>
  <si>
    <t>Bibliotecas públicas y espacios adscritos a la Red, operando con servicios bibliotecarios</t>
  </si>
  <si>
    <t>Formación e los servicios bibliotecarios en bibliotecas públicas y espacios adscritos a la red en Santiago de  Cali</t>
  </si>
  <si>
    <t>BP26002890</t>
  </si>
  <si>
    <t>BP2600289010101</t>
  </si>
  <si>
    <t xml:space="preserve">Brindar los  servicios bibliotecarios en 64 espacios, entre  bibliotecas públicas y espacios adscritos a la Red, logrando atender un mínimo de 57 personas </t>
  </si>
  <si>
    <t>Durante este periodo se implementó la prestación de los servicios bibliotecarios (Préstamo externo, acceso a internet, consulta en sala, referencia, actividades culturales, actividades de lectura, escritura y oralidad, formación de usuarios, y desarrollo local) de manera inclusiva a todas las poblaciones en 58 espacios bibliotecarios ubicados en diferentes zonas de la ciudad, lo que ha garantizado un acceso seguro y equitativo a los recursos y servicios bibliotecarios, adaptándose a las condiciones cambiantes y priorizando el bienestar de la comunidad.</t>
  </si>
  <si>
    <t>BP2600289010201</t>
  </si>
  <si>
    <t>Disponer  6.000 nuevos materiales de  lectura  en las  bibliotecas  públicas,  y en los espacios  no convencionales, adscritos a la red</t>
  </si>
  <si>
    <t>Materiales de lectura disponibles en bibliotecas públicas y espacios no convencionales</t>
  </si>
  <si>
    <t xml:space="preserve"> Cali Corazón de las Culturas</t>
  </si>
  <si>
    <t>Manifestaciones del patrimonio cultural inmaterial identificadas, visibilizadas y salvaguardadas</t>
  </si>
  <si>
    <t>Fortalecimiento de las acciones de salvaguardia de las manifestaciones del patrimonio cultural inmaterial de Santiago de  Cali</t>
  </si>
  <si>
    <t>BP26003704</t>
  </si>
  <si>
    <t>BP2600370410101</t>
  </si>
  <si>
    <t>Apoyar  los  procesos de salvaguarda  de 2 manifestaciones del patrimonio cultural inmaterial,  de Santiago de  Cali</t>
  </si>
  <si>
    <t>Procesos de salvaguarda efectivas del patrimonio cultural inmaterial realizados</t>
  </si>
  <si>
    <t>BP2600370410301</t>
  </si>
  <si>
    <t>Realizar 3 publicaciones orientada a  divulgar  el patrimonio  cultural inmaterial de Santiago de  Cali</t>
  </si>
  <si>
    <t>Publicaciones  realizadas</t>
  </si>
  <si>
    <t>Se ajustó la versión del documento de postulación de las fiestas de adoración al niño Dios con fugas/jugas en el nortes del Cauca y sur del Valle, el cual fue radicado en el Ministerio de Cultura y esta pendiente para aprobación.  Se continua apoyando la elaboración del documento que contempla los acuerdos para la creación de la Red Latinoamericana de procesos carnavalescos (Colombia, Brasil y Panama).</t>
  </si>
  <si>
    <t>Bienes materiales de Interés cultural protegidos y conservados</t>
  </si>
  <si>
    <t>Conservación patrimonial del Centro Cultural de  Cali</t>
  </si>
  <si>
    <t>BP26002811</t>
  </si>
  <si>
    <t>BP2600281110101</t>
  </si>
  <si>
    <t xml:space="preserve">Intervenir el Centro Cultural con acciones de mantenimiento </t>
  </si>
  <si>
    <t>BP2600281110102</t>
  </si>
  <si>
    <t>Asistir técnicamente 1 proyecto de infraestructura cultural</t>
  </si>
  <si>
    <t xml:space="preserve"> Infraestructura cultural  asistidos técnicamente</t>
  </si>
  <si>
    <t>Se realizaron reuniones con el equipo del área infraestructura para avanzar con la planificación de las actividades de intervención en el Centro Cultural. También, se  ha realizado la instalación de alfombra en la tarima del auditorio principal, mantenimiento y pintura en la oficina de despacho, subsecretaría de artes, adecuación de divisiones de vidrio e instalaciones eléctricas en la oficina de planeación, adecuación de escritorios e instalaciones eléctricas en oficina de red de bibliotecas, reparación de goteras en oficina de red de bibliotecas y archivo histórico, revisión y mantenimiento de aires acondicionados de oficinas del centro cultural, adecuación de parqueaderos, reparación y mantenimiento de baños, reparación y mantenimiento de chapas.</t>
  </si>
  <si>
    <t>Divulgación de valores culturales en sectores urbanos declarados como bienes de interés cultural de  Cali</t>
  </si>
  <si>
    <t>BP26002825</t>
  </si>
  <si>
    <t>BP2600282510101</t>
  </si>
  <si>
    <t xml:space="preserve">Realizar 4 acciones de divulgación  y documentación  del valor patrimonial de los BIC  barrio  San Antonio  y del Centro histórico de  Cali ( 2 Bienes de interes Cultural)
</t>
  </si>
  <si>
    <t>Servicio de divulgación y publicación del Patrimonio cultural</t>
  </si>
  <si>
    <t>En el marco de este producto se han realizado acciones de recopilación de información sobre gestión realizada desde el ente gestor del Centro Histórico con el objetivo de  tener un estado del arte y  establecer el plan de trabajo para el desarrollo de las acciones a realizar en el marco de este proyecto en la presente vigencia.</t>
  </si>
  <si>
    <t>BP2600282510201</t>
  </si>
  <si>
    <t>Realizar 4 acciones de divulgación  y publicación sobre Bienes de Interes Cultural</t>
  </si>
  <si>
    <t>Protección de la infraestructura patrimonial de  Cali</t>
  </si>
  <si>
    <t>BP26002865</t>
  </si>
  <si>
    <t>BP2600286510101</t>
  </si>
  <si>
    <t xml:space="preserve">Realizar acciones de  mantenimiento y  adecuación de 2 bienes inmuebles de interés  cultural </t>
  </si>
  <si>
    <t>Restauraciones realizadas</t>
  </si>
  <si>
    <t>Conservación de la infraestructura patrimonial de Santiago de Cali</t>
  </si>
  <si>
    <t>BP26003841</t>
  </si>
  <si>
    <t>BP2600384110101</t>
  </si>
  <si>
    <t>Intervenir con acciones de mantenimiento una infraestructura Cultural</t>
  </si>
  <si>
    <t>Comunas y corregimientos con procesos identitarios promovidos y apoyados</t>
  </si>
  <si>
    <t>Implementación del proceso de integración intercomunitaria  para el apoyo de los procesos identitarios  en Santiago de  Cali</t>
  </si>
  <si>
    <t>BP26002857</t>
  </si>
  <si>
    <t>BP2600285710101</t>
  </si>
  <si>
    <t>Apoyar  el desarrollo de 1 proceso identitario  identificado  en comunas y corregimientos  de Santiago de  Cali</t>
  </si>
  <si>
    <t>Proceso de salvaguarda efectivas del patrimonio cultural inmaterial realizados</t>
  </si>
  <si>
    <t>Se realizó plan de trabajo que tiene como objetivo recoger la memoria de algunos actores y procesos de la salsa y otras manifestaciones en la comunas 8, 9  y 21, especialmente en el Barrio Obrero, El Troncal y la Galeria La Alameda.</t>
  </si>
  <si>
    <t>BP2600285710201</t>
  </si>
  <si>
    <t>Realizar una capacitación sobre la construcción de herramientas de salvaguarda</t>
  </si>
  <si>
    <t xml:space="preserve">capacitaciones realizadas </t>
  </si>
  <si>
    <t>Recuperación de la memoria cultural y artística del corregimiento de Pance de Santiago de Cali</t>
  </si>
  <si>
    <t>BP26003749</t>
  </si>
  <si>
    <t>BP2600374910101</t>
  </si>
  <si>
    <t>Realizar 2 eventos de apoyo  a  procesos  que promueven valores identitarios en comunas y corregimientos</t>
  </si>
  <si>
    <t>Eventos de promoción de actividades culturales realizados.</t>
  </si>
  <si>
    <t>Recuperación de la memoria cultural y artística en el corregimiento de Navarro de Santiago de Cali</t>
  </si>
  <si>
    <t>BP26003800</t>
  </si>
  <si>
    <t>BP2600380010101</t>
  </si>
  <si>
    <t>Realizar 1 evento de apoyo  a  procesos  que promueven valores identitarios en comunas y corregimientos</t>
  </si>
  <si>
    <t>Plan para la recuperación de la memoria cultural, Implementado</t>
  </si>
  <si>
    <t>Implementación por zonas de ciudad del plan para la recuperación de la memoria cultural  de  Cali</t>
  </si>
  <si>
    <t>BP26002877</t>
  </si>
  <si>
    <t>BP2600287710101</t>
  </si>
  <si>
    <t>Plan para la recuperación de la memoria</t>
  </si>
  <si>
    <t>Realizar 4 procesos de  recuperación de la  memoria, en el marco del Plan para la  recuperación de la memoria  cultural</t>
  </si>
  <si>
    <t xml:space="preserve">Procesos de salvaguardia efectiva del patrimonio inmaterial realizados </t>
  </si>
  <si>
    <t>Se avanzó en la  identificación de las propuestas de memoria artística y cultural que se adelantan en la ciudad, con ejercicios complementarios de lecturas y revisión de fuentes documentales y bibliográficas que  permiten delimitar escenarios de intervención para el año 2024, priorizando las manifestaciones relacionadas con las salsa, cocina tradicional y expresiones artísticas que se dan en algunos barrios de las comunas 4, 8 y 9 de la ciudad de Cali. Además, se está avanzando con la elaboración de un Plan de Trabajo en conjunto con las comunidades de las comunas 7, 8 y 9 con el objetivo de identificar las prácticas artísticas y culturales de estos territorios.</t>
  </si>
  <si>
    <t>BP2600287710201</t>
  </si>
  <si>
    <t>Realizar 1 asistencia técnica para la  implementación del plan para la recuperación de la  Memoria Cultural</t>
  </si>
  <si>
    <t>BP2600287710301</t>
  </si>
  <si>
    <t>Realizar 1 documento con los aportes presentados  en el encuentro de socialización de estrategias de recuperación de la  memoria cultural</t>
  </si>
  <si>
    <t>Fuentes y monumentos localizados en espacios públicos con mantenimiento</t>
  </si>
  <si>
    <t>Protección fuentes ornamentales y monumentos con mantenimiento localizados en espacios públicos de  cala</t>
  </si>
  <si>
    <t>BP26002861</t>
  </si>
  <si>
    <t>BP2600286110101</t>
  </si>
  <si>
    <t>Realizar el  mantenimiento y/o restauración  de 72 fuentes ornamentales  y monumentos, ubicados en espacio público</t>
  </si>
  <si>
    <t>Se realizaron recorridos para identificar las necesidades de mantenimiento y se establece cronograma para realizar las respectivas intervenciones. A la fecha se ha avanzado con la limpieza y lavado a las siguientes fuentes: Fuentes del CAM (2), Fuentes del Paseo Bolívar (4), Fuente la Tertulia, fuentes los Niños, Fuentes Oasis, Fuente Miami, Glorieta de la Estación, Fuente de Parque del Peñón, Fuente Pila del Crespo, Fuentes Bulevar del Rio, Fuente cascada de Loma de la Cruz, Fuente Jovita, Fuente Plaza de Caycedo (4) y Fuente Parque Panamericano. Adicionalmente, se revisaron los niveles de llenado, motores, medición de contadores, limpieza de inyectores, rejillas de succión. En total se avanza en la intervención de 21 fuentes.</t>
  </si>
  <si>
    <t>Actualización y difusión del inventario de bienes muebles de interés cultural</t>
  </si>
  <si>
    <t>Inventario de bienes muebles de interés cultural de  Cali</t>
  </si>
  <si>
    <t>BP26002827</t>
  </si>
  <si>
    <t>BP2600282710101</t>
  </si>
  <si>
    <t>Realizar fichas de caracterización y documentación  de los  bienes  muebles  inventariados</t>
  </si>
  <si>
    <t>Bienes muebles documentales patrimoniales y de interés cultural, protegidos, conservados y divulgados</t>
  </si>
  <si>
    <t>Apoyo a la protección y divulgación de los acervos documentales y bibliográficos de la biblioteca patrimonial del Centenario de  Cali</t>
  </si>
  <si>
    <t>BP26002809</t>
  </si>
  <si>
    <t>BP2600280910101</t>
  </si>
  <si>
    <t xml:space="preserve">Realizar 1 evento de promoción de actividades culturales
</t>
  </si>
  <si>
    <t>Eventos de promoción de activades culturales realizados</t>
  </si>
  <si>
    <t>BP2600280910201</t>
  </si>
  <si>
    <t>Atender a 150 personas  con servicios bibliotecarios</t>
  </si>
  <si>
    <t>BP2600280910301</t>
  </si>
  <si>
    <t>Promover  el acceso  de 3183 personas, a la  oferta cultural</t>
  </si>
  <si>
    <t>En el marco de este producto, se llevó a cabo reunión para la formulación de estrategias que permitan transversalizar y articular los procesos de lectura, escritura y oralidad que están orientados a usuarios de la red, con el archivo fotográfico de la Red de Bibliotecas Públicas de Cali.</t>
  </si>
  <si>
    <t>Conservación Organización y difusión del patrimonio documental, audiovisual,  sonoro y archivístico de Santiago de  Cali</t>
  </si>
  <si>
    <t>BP26003680</t>
  </si>
  <si>
    <t>BP2600368010101</t>
  </si>
  <si>
    <t>Preservar  los  acervos documentales del Archivo Histórico de  Cali</t>
  </si>
  <si>
    <t>Bienes bibliográficos y documentales preservados</t>
  </si>
  <si>
    <t xml:space="preserve">En función de la preservación del Archivo Histórico de Cali, a la fecha se han realizado las siguientes acciones: 7 talleres  a Instituciones educativas y universidades, apoyo a las estrategias de comunicación con contenido histórico y patrimonial,  primeros auxilios a 9 documentos del AHC, se cambiaron 40 unidades de almacenamiento y se digitalizaron 1311 imágenes de documentos antiguos.
</t>
  </si>
  <si>
    <t>BP2600368010102</t>
  </si>
  <si>
    <t xml:space="preserve">Preservar  los acervos audiovisuales y cinematográficos  de la sala audiovisual </t>
  </si>
  <si>
    <t>Colecciones cinematográficas y audiovisuales preservadas</t>
  </si>
  <si>
    <t>BP2600368010201</t>
  </si>
  <si>
    <t>Facilitar  el acceso   de 1.200 personas  a los acervos del Archivo  Histórico</t>
  </si>
  <si>
    <t>Consultas realizadas en sala</t>
  </si>
  <si>
    <t>Se brindó atención a 148 usuarios que de forma presencia y/o digital consultaron la documentación del Archivo Histórico de Cali, se apoyó con los procesos de descripción documental a través de la inclusión de 30 tomos en el Formato Único de Inventario Documental FUID, se hizo lectura paleográfica a 114 folios del Fondo Cabildo Concejo, se apoyó las respuesta de solicitudes de escrituras públicas a través de 330 peticiones respondidas. En total 478 consultas realizadas.</t>
  </si>
  <si>
    <t>BP2600368010202</t>
  </si>
  <si>
    <t>Realizar  2  publicaciones  de divulgación de los  acervos  documentales del archivo histórico y de la sala  audiovisual</t>
  </si>
  <si>
    <t>Publicaciones realizadas.</t>
  </si>
  <si>
    <t>Ecosistema Artístico</t>
  </si>
  <si>
    <t>Personas formadas en prácticas artísticas en comunas y corregimientos</t>
  </si>
  <si>
    <t>Formación en prácticas artísticas y culturales a habitantes del corregimiento el Hormiguero de Cali</t>
  </si>
  <si>
    <t>BP26003219</t>
  </si>
  <si>
    <t>BP2600321910101</t>
  </si>
  <si>
    <t>Capacitar a 114 personas  del corregimiento en prácticas artísticas y culturales</t>
  </si>
  <si>
    <t>Número de personas</t>
  </si>
  <si>
    <t>Formación en prácticas artísticas y culturales a habitantes del corregimiento la Elvira de Cali</t>
  </si>
  <si>
    <t>BP26003220</t>
  </si>
  <si>
    <t>BP2600322010101</t>
  </si>
  <si>
    <t>Capacitar a 50 personas  del corregimiento en prácticas artísticas y culturales</t>
  </si>
  <si>
    <t>Formación en prácticas y expresiones artísticas y culturales de Santiago de Cali</t>
  </si>
  <si>
    <t>BP26003395</t>
  </si>
  <si>
    <t>BP2600339510101</t>
  </si>
  <si>
    <t xml:space="preserve">Vincular  2762 personas  de las  diferentes  comunas  y corregimientos, a  procesos de  capacitación artística </t>
  </si>
  <si>
    <t>Se realizaron los términos de referencia para la evaluación y selección de organizaciones e iniciativas artísticas, sociales y culturales de base comunitaria interesados en participar en proceso de formación artística y cultural. De igual forma, se elaboraron los términos para la escogencia de 100 cultores en comunas y corregimientos. Se realizó la articulación con la Secretaría de Educación (Jornada Única Complementaria), Secretaría de Bienestar Social (Comedores comunitarios),  la Red de Bibliotecas Públicos y presupuesto participativo para establecer un plan estratégico de fortalecimiento de la oferta educativa y la formación artística en los territorios.</t>
  </si>
  <si>
    <t>BP2600339510201</t>
  </si>
  <si>
    <t xml:space="preserve">Realizar  5 eventos de promoción de actividades artísticas  y culturales </t>
  </si>
  <si>
    <t xml:space="preserve"> Eventos de promoción de actividades culturales realizados </t>
  </si>
  <si>
    <t>Mejoramiento de la formación artística y cultural para los habitantes del corregimiento Montebello de Santiago de Cali</t>
  </si>
  <si>
    <t>BP26003768</t>
  </si>
  <si>
    <t>BP2600376810101</t>
  </si>
  <si>
    <t>Capacitar a 120 personas  del corregimiento en prácticas artísticas y culturales</t>
  </si>
  <si>
    <t>Formación en  practicas artísticas  a  habitantes de la comuna 16 de Santiago de  Cali</t>
  </si>
  <si>
    <t>BP26003799</t>
  </si>
  <si>
    <t>BP2600379910101</t>
  </si>
  <si>
    <t>Capacitar a 800 personas  de la comuna  en prácticas artísticas y culturales</t>
  </si>
  <si>
    <t>Formación artística para los habitantes del Corregimiento La Paz de Santiago de Cali</t>
  </si>
  <si>
    <t>BP26003916</t>
  </si>
  <si>
    <t>BP2600391620101</t>
  </si>
  <si>
    <t>Capacitar a 70 personas  del corregimiento en prácticas artísticas y culturales</t>
  </si>
  <si>
    <t>Mejoramiento de los procesos de formación cultural y artísticos de la comuna 7 de Santiago de Cali</t>
  </si>
  <si>
    <t>BP26003925</t>
  </si>
  <si>
    <t>BP2600392510101</t>
  </si>
  <si>
    <t>Capacitar a 200 personas  de la comuna  en prácticas artísticas y culturales</t>
  </si>
  <si>
    <t>Formación en prácticas artísticas y culturales a los habitantes de la comuna 9 de Santiago de Cali</t>
  </si>
  <si>
    <t>BP26004902</t>
  </si>
  <si>
    <t>BP2600490210101</t>
  </si>
  <si>
    <t>Capacitar a 488 personas  de la comuna  en prácticas artísticas y culturales</t>
  </si>
  <si>
    <t>Fortalecimiento en prácticas artísticas y culturales a habitantes de la Comuna 21 de Santiago de Cali</t>
  </si>
  <si>
    <t>BP26004904</t>
  </si>
  <si>
    <t>BP2600490410101</t>
  </si>
  <si>
    <t>Capacitar a 300 personas  de la comuna  en prácticas artísticas y culturales</t>
  </si>
  <si>
    <t>Fortalecimiento de las practicas artísticas y culturales para los habitantes del corregimiento Golondrinas de Santiago de Cali</t>
  </si>
  <si>
    <t>BP26004905</t>
  </si>
  <si>
    <t>BP2600490510101</t>
  </si>
  <si>
    <t>Capacitar a 100 personas  de la comuna  en prácticas artísticas y culturales</t>
  </si>
  <si>
    <t>Formación cultural y artística para los habitantes de la comuna 17 en Santiago de Cali</t>
  </si>
  <si>
    <t>BP26004912</t>
  </si>
  <si>
    <t>BP2600491210101</t>
  </si>
  <si>
    <t>Capacitar a 400 personas  de la comuna  en prácticas artísticas y culturales</t>
  </si>
  <si>
    <t>Fortalecimiento en prácticas artísticas y culturales a los habitantes del Corregimiento La Leonera de Santiago de Cali</t>
  </si>
  <si>
    <t>BP26004924</t>
  </si>
  <si>
    <t>BP2600492410101</t>
  </si>
  <si>
    <t>Capacitar a 150 personas  de la comuna  en prácticas artísticas y culturales</t>
  </si>
  <si>
    <t>Formación en practicas artísticas y culturales a habitantes de la comuna 5 de Santiago de  Cali</t>
  </si>
  <si>
    <t>BP26004934</t>
  </si>
  <si>
    <t>BP2600493410101</t>
  </si>
  <si>
    <t>Capacitar a 140 personas  de la comuna  en prácticas artísticas y culturales</t>
  </si>
  <si>
    <t>Formación artística a habitantes de la comuna 3 de Santiago de Cali</t>
  </si>
  <si>
    <t>BP26004956</t>
  </si>
  <si>
    <t>BP2600495610101</t>
  </si>
  <si>
    <t>Capacitar a 230 personas  de la comuna  en prácticas artísticas y culturales</t>
  </si>
  <si>
    <t>Formación artísticas y cultural a habitantes de la comuna 13 en Santiago de  Cali</t>
  </si>
  <si>
    <t>BP26004965</t>
  </si>
  <si>
    <t>BP2600496510101</t>
  </si>
  <si>
    <t>Capacitar a 390 personas  de la comuna  en prácticas artísticas y culturales</t>
  </si>
  <si>
    <t>Formación artística a habitantes de la comuna 4 de Santiago de Cali</t>
  </si>
  <si>
    <t>BP26004973</t>
  </si>
  <si>
    <t>BP2600497310101</t>
  </si>
  <si>
    <t>Capacitar a 758 personas  de la comuna  en prácticas artísticas y culturales</t>
  </si>
  <si>
    <t>Formación artística a habitantes de la comuna 18 de Santiago de Cali</t>
  </si>
  <si>
    <t>BP26004975</t>
  </si>
  <si>
    <t>BP2600497510101</t>
  </si>
  <si>
    <t>Capacitar a 420 personas  de la comuna  en prácticas artísticas y culturales</t>
  </si>
  <si>
    <t>Organizaciones e instituciones apoyadas en el desarrollo de sus iniciativas artísticas y culturales</t>
  </si>
  <si>
    <t>Fortalecimiento de las salas independientes de teatro de Santiago de  Cali</t>
  </si>
  <si>
    <t>BP26002745</t>
  </si>
  <si>
    <t>BP2600274510101</t>
  </si>
  <si>
    <t>Realizar 1 documentos de lineamientos técnicos</t>
  </si>
  <si>
    <t>BP2600274510201</t>
  </si>
  <si>
    <t>Apoyar la circulación  de las producciones  de  13 organizaciones  teatrales</t>
  </si>
  <si>
    <t>En el marco de la estrategia denominada programa de concertación, se aprobaron los criterios de evaluación y 5 formatos para los anexos de la convocatoria Ciclo 2 - Salas concertadas. Además, en articulación con el área jurídica se está avanzando con el ajuste de la carta de compromiso de las salas de teatro y en la elaboración de la resolución de apertura para publicar la convocatoria.</t>
  </si>
  <si>
    <t>Apoyo a organizaciones artísticas y culturales de la comuna 15 de Santiago de   Cali</t>
  </si>
  <si>
    <t>BP26003787</t>
  </si>
  <si>
    <t>BP2600378710101</t>
  </si>
  <si>
    <t>Apoyar la realización  de encuentros culturales  propuestos por 7  organizaciones  artísticas  y culturales  de la comuna</t>
  </si>
  <si>
    <t>Fortalecimiento a organizaciones artísticas y culturales de la comuna 6 de Santiago de Cali</t>
  </si>
  <si>
    <t>BP26003909</t>
  </si>
  <si>
    <t>BP2600390910101</t>
  </si>
  <si>
    <t>Apoyar  12  organizaciones  con el desarrollo de procesos de formación</t>
  </si>
  <si>
    <t>Fortalecimiento de los procesos artísticos y culturales que gestionan las organizaciones de Santiago de Cali</t>
  </si>
  <si>
    <t>BP26004709</t>
  </si>
  <si>
    <t>BP2600470910101</t>
  </si>
  <si>
    <t>Realizar 1 documento de planeación</t>
  </si>
  <si>
    <t xml:space="preserve">31/1/2024
</t>
  </si>
  <si>
    <t>Se elaboró y publicó el documento rector del programa de concertación. Además, se elaboraron los términos específicos de participación de la modalidad Interculturalidad, larga trayectoria Ciclo 1, los cuales están para revisión jurídica. De igual forma, se elaboraron y aprobaron los anexos para postulación de organizaciones interesadas en participar. En articulación con el área jurídica se está avanzando con el ajuste de la carta de compromiso. También, se está avanzado en la elaboración de la resolución de apertura para publicar la convocatoria,  se están elaborando las Cartas de invitación para convocatoria cerrada dirigida a 20 organizaciones y se avanza con la selección de la terna de jurados.</t>
  </si>
  <si>
    <t>BP2600470910201</t>
  </si>
  <si>
    <t>Apoyar la circulación  de las producciones  de  33 organizaciones  teatrales</t>
  </si>
  <si>
    <t>Fortalecimiento a organizaciones artísticas y culturales en la Comuna 5 de Santiago de  Cali</t>
  </si>
  <si>
    <t>BP26004930</t>
  </si>
  <si>
    <t>BP2600493010101</t>
  </si>
  <si>
    <t>Apoyar  7 organizaciones  con el desarrollo de procesos de formación</t>
  </si>
  <si>
    <t>Espacios de participación y creación artística con enfoque diferencial y de genero apoyados</t>
  </si>
  <si>
    <t>Fortalecimiento de la promoción y el acceso de los derechos culturales y de las expresiones artísticas en poblaciones vulnerables de Santiago de  Cali</t>
  </si>
  <si>
    <t>BP26002858</t>
  </si>
  <si>
    <t>BP2600285810101</t>
  </si>
  <si>
    <t>Diseñar y documentar  estrategias de  promoción de los derechos  culturales  en población  vulnerable</t>
  </si>
  <si>
    <t>En el marco de este producto, se han realizado reuniones orientadas a establecer un plan de trabajo para dar inicio al diseño de la estrategia para el fomento del ejercicio de los derechos culturales en población vulnerable.</t>
  </si>
  <si>
    <t>BP2600285810201</t>
  </si>
  <si>
    <t>Realizar 1 evento orientado a promover  la cultura en el espacio generado para la participación de población vulnerable</t>
  </si>
  <si>
    <t xml:space="preserve">Eventos de promoción de actividades culturales realizados </t>
  </si>
  <si>
    <t>Desarrollo de procesos artísticos y culturales con personas en diversidad sexual  y de genero LGTBI en   Cali</t>
  </si>
  <si>
    <t>BP26002880</t>
  </si>
  <si>
    <t>BP2600288010101</t>
  </si>
  <si>
    <t>Realizar 1 evento de promoción de actividades culturales con población LGTBIQ+</t>
  </si>
  <si>
    <t>BP2600288010201</t>
  </si>
  <si>
    <t xml:space="preserve">Poner en circulación 1 contenido cultural en el espacio generado para la participación de agrupaciones  o  personas  del  sector de población LGTBIQ+ </t>
  </si>
  <si>
    <t>Implementación de procesos artísticos para una ciudad segura para las mujeres y las niñas  de Santiago de  Cali</t>
  </si>
  <si>
    <t>BP26002883</t>
  </si>
  <si>
    <t>BP2600288310101</t>
  </si>
  <si>
    <t>Realizar 1 encuentro en el espacio de participación generado para promover los  derechos  de las  mujeres  y la  equidad de  genero.</t>
  </si>
  <si>
    <t>Encuentros Realizados</t>
  </si>
  <si>
    <t>BP2600288310201</t>
  </si>
  <si>
    <t>Realizar 2 eventos de promoción de actividades culturales,  con enfoque  de diferencial</t>
  </si>
  <si>
    <t>Actores del sector cultural beneficiados con estímulos</t>
  </si>
  <si>
    <t>Apoyo con estímulos a los agentes culturales, artísticos y patrimoniales de Santiago de  Cali</t>
  </si>
  <si>
    <t>BP26004722</t>
  </si>
  <si>
    <t>BP2600472210101</t>
  </si>
  <si>
    <t>Asistir técnicamente a 610 personas en gestión de proyectos culturales</t>
  </si>
  <si>
    <t>En el marco de la convotaria Estímulos se estructuró el documento que contiene los téminos de referencia de las líneas Creación, Circulación, Formación, Investigación, Publicación, Fortalecimiento, Gestión Cultural. Este documento esta en revisión para posterior aprobación y publicación.</t>
  </si>
  <si>
    <t>BP2600472210201</t>
  </si>
  <si>
    <t>Otorgar 157 estímulos, para el desarrollo de  proyectos culturales, artísticos y patrimoniales en el marco de la convocatoria de estímulos de la  SC</t>
  </si>
  <si>
    <t>Semilleros de investigación artística y cultural implementados</t>
  </si>
  <si>
    <t>Fortalecimiento de la investigación artística y  cultural de Santiago de  Cali</t>
  </si>
  <si>
    <t>BP26002819</t>
  </si>
  <si>
    <t>BP2600281910101</t>
  </si>
  <si>
    <t>Promover el desarrollo de  1 semilleros de investigación sobre temas artísticos  y culturales</t>
  </si>
  <si>
    <t xml:space="preserve">Se identificaron los resultados obtenidos con los semilleros de investigación 2021 -2023. Se elaboró matriz que permite identificar las líneas de acción de 3 instituciones universitarias y la Secretaría de Cultura, en el marco de los semilleros de investigación realizados en cada entidad y los lineamientos del Plan Decenal de Cultura, el Plan Nacional de Cultura, Colciencias y la normativa vigente. Se estableció la mesa de trabajo permanente en articulación con 3 instituciones universitarias: Univalle, U. San Buenaventura y el IPC) con el objeto de fijar la ruta de investigación cultural para los semilleros contemplando las vocaciones de cada entidad.
</t>
  </si>
  <si>
    <t>BP2600281910201</t>
  </si>
  <si>
    <t>Divulgar el  resultado del trabajo del semillero de  investigación  a través de  1 publicaciones</t>
  </si>
  <si>
    <t>Publicaciones Realizadas</t>
  </si>
  <si>
    <t>BP26004721</t>
  </si>
  <si>
    <t>BP2600472110101</t>
  </si>
  <si>
    <t>Promover el desarrollo de  4 semilleros de investigación sobre temas artísticos  y culturales</t>
  </si>
  <si>
    <t>BP2600472110201</t>
  </si>
  <si>
    <t xml:space="preserve">Realizar un evento para promover el resultado del trabajo del semillero de  investigación  </t>
  </si>
  <si>
    <t>Creadores y gestores culturales beneficiados con seguridad social en el marco de la ley 666 de 2001 y decretos reglamentarios</t>
  </si>
  <si>
    <t>Aportes para la vinculación al programa de beneficios económicos periódicos -BEPS- para los creadores y gestores culturales de Santiago de Cali</t>
  </si>
  <si>
    <t>BP26004733</t>
  </si>
  <si>
    <t>Secretaria de Cultura - Unidad de Apoyo a la Gestión</t>
  </si>
  <si>
    <t>BP2600473310101</t>
  </si>
  <si>
    <t>Beneficiar 95 personas (entre  artistas y gestores  culturales), con  el programa de seguridad  social complementarios - BEPS-  Modalidad Anualidad Vitalicia</t>
  </si>
  <si>
    <t>Creadores y gestores culturales beneficiados</t>
  </si>
  <si>
    <t>BP2600473310201</t>
  </si>
  <si>
    <t>Beneficiar 400 personas (entre  artistas y gestores  culturales), con  el programa de seguridad  social complementarios - BEPS-  Modalidad de Motivación al ahorro</t>
  </si>
  <si>
    <t>Actores de la salsa fortalecidos en gestión cultural y procesos dancísticos</t>
  </si>
  <si>
    <t>Fortalecimiento de los actores de la salsa de la ciudad de  Cali</t>
  </si>
  <si>
    <t>BP26002882</t>
  </si>
  <si>
    <t>BP2600288210101</t>
  </si>
  <si>
    <t xml:space="preserve">Promover el  fortalecimiento  de los  actores de la salsa,  brindando capacitación  y asistencia técnica, a  75 personas vinculadas a  grupos u organizaciones del sector </t>
  </si>
  <si>
    <t>En el marco de este producto se han enviado comunicados al Ministerio de Cultura con el objetivo de obtener la resolución que avala el Complejo musical - dancistico de la salsa caleña como manifestación del PCI Nacional. Se realizó el primer encuentro institucional entre el organismo y  los representantes de asociaciones y procesos de salvaguarda en torno a las salsa caleña. De igual forma, se asistió a la primera reunión con representantes del Festival Mundial de Salsa orientado a articular el proceso de salvaguarda a este evento y se participó en el evento interinstitucional de activación de la ruta turística del barrio obrero.</t>
  </si>
  <si>
    <t>BP2600288210201</t>
  </si>
  <si>
    <t>Poner en circulación 1 contenido cultural, de los diferentes actores  de la  salsa</t>
  </si>
  <si>
    <t>Personas beneficiadas con el proceso de profesionalización de artistas</t>
  </si>
  <si>
    <t>Apoyo a la profesionalización de los artistas empíricos en Santiago de   Cali</t>
  </si>
  <si>
    <t>BP26002879</t>
  </si>
  <si>
    <t>BP2600287910101</t>
  </si>
  <si>
    <t>Apoyar la formación   formal orientada a la profesionalización de 38 artistas  empíricos</t>
  </si>
  <si>
    <t>BP2600287910201</t>
  </si>
  <si>
    <t>Realizar 1 evento de promoción del acceso a la  profesionalización  de  artista  empíricos</t>
  </si>
  <si>
    <t>Contenidos audiovisuales o cinematográficos, artísticos, culturales y de formación entregados a través de plataformas</t>
  </si>
  <si>
    <t>Apoyo  a  la producción de audio y video con talento local en Santiago de  Cali</t>
  </si>
  <si>
    <t>BP26002860</t>
  </si>
  <si>
    <t>BP2600286010101</t>
  </si>
  <si>
    <t xml:space="preserve">Realizar  proceso  de  formación  en medios  y producción audiovisual,  y en curaduría  cinematográfica  dirigida a  20 personas </t>
  </si>
  <si>
    <t>BP2600286010201</t>
  </si>
  <si>
    <t>Realizar la asistencia técnica a una entidad territorial.</t>
  </si>
  <si>
    <t>Entidades Territoriales asistidas técnicamente</t>
  </si>
  <si>
    <t>BP2600286010301</t>
  </si>
  <si>
    <t>Poner en circulación 15  producciones  audiovisuales</t>
  </si>
  <si>
    <t>Escenarios para las artes escénicas de naturaleza pública fortalecidos con programación cultural y artística</t>
  </si>
  <si>
    <t>Ampliación de la oferta artística, cultural y de exhibición en escenarios de naturaleza pública de   Cali</t>
  </si>
  <si>
    <t>BP26002749</t>
  </si>
  <si>
    <t>BP2600274910101</t>
  </si>
  <si>
    <t>Realizar 5 eventos de promoción de actividades culturales</t>
  </si>
  <si>
    <t>En función de avanzar con la planificación de la programación artística y cultural de cada escenario, se han realizado reuniones para establecer la articulación entre las diferentes áreas del organismo, ajustar el reglamento interno de cada escenario y definir las estrategias a implementar durante el desarrollo de las actividades en el marco de este proyecto. También se está avanzando en la evaluación del estado físico de cada escenario y se han realizado reuniones con grupos de valor relacionados con el Teatro de la comuna 16 y el Parque artesanal Loma de la Cruz.</t>
  </si>
  <si>
    <t>BP2600274910201</t>
  </si>
  <si>
    <t>Beneficiar 25 personas con su circulación en escenarios culturales de la ciudad</t>
  </si>
  <si>
    <t>Jóvenes y adultos en proceso de formación en artes populares y tradicionales</t>
  </si>
  <si>
    <t>Fortalecimiento de las expresiones populares y tradicionales de Santiago de Cali</t>
  </si>
  <si>
    <t>BP26004724</t>
  </si>
  <si>
    <t>BP2600472410101</t>
  </si>
  <si>
    <t>Realizar  la  capacitacion de  1.002 personas  entre   jóvenes  y adultos, en  artes  populares  y tradicionales</t>
  </si>
  <si>
    <t>BP2600472410201</t>
  </si>
  <si>
    <t>Adquirir instrumentos y elementos para apoyar 4 procesos de formación</t>
  </si>
  <si>
    <t>BP2600472410301</t>
  </si>
  <si>
    <t>Realizar 4 encuentros para la visibilización de  expresiones  artísticas  tradicionales</t>
  </si>
  <si>
    <t>Artistas, gestores y creadores culturales certificados en sus prácticas artísticas y culturales</t>
  </si>
  <si>
    <t>Apoyo a los procesos de certificación de artista, gestores y creadores culturales de Santiago Cali</t>
  </si>
  <si>
    <t>BP26002747</t>
  </si>
  <si>
    <t>15/062024</t>
  </si>
  <si>
    <t>BP2600274710101</t>
  </si>
  <si>
    <t>Apoyar la capacitación certificada de 45 personas  entre  artistas, gestores  y creadores  culturales</t>
  </si>
  <si>
    <t>Circulación de las creaciones artísticas y culturales, populares y tradicionales en escenarios estratégicos</t>
  </si>
  <si>
    <t>Fortalecimiento de los procesos creativos en Santiago de  Cali</t>
  </si>
  <si>
    <t>BP26002854</t>
  </si>
  <si>
    <t>BP2600285410101</t>
  </si>
  <si>
    <t>Apoyar  el desarrollo de  talleres  y de  obras  de  creación artística  y  cultural, con la entrega de  estímulos</t>
  </si>
  <si>
    <t>Se estructuró el documento que contiene los términos de referencia para la convocatoria denominada Creación Artística y Cultural, el cual está en revisión para posterior aprobación y publicación.</t>
  </si>
  <si>
    <t>BP2600285410201</t>
  </si>
  <si>
    <t>Poner en circulación en escenarios estratégicos 1 creación  artística y cultural locales</t>
  </si>
  <si>
    <t xml:space="preserve">Contenidos culturales  en circulación </t>
  </si>
  <si>
    <t>Fortalecimiento a la circulación de expresiones y manifestaciones artísticas populares del distrito de Santiago de  Cali</t>
  </si>
  <si>
    <t>BP26004727</t>
  </si>
  <si>
    <t>BP2600472710101</t>
  </si>
  <si>
    <t xml:space="preserve">Poner en circulación en escenarios estratégicos 3 creaciones  artísticas y culturales </t>
  </si>
  <si>
    <t>BP2600472710201</t>
  </si>
  <si>
    <t>Apoyar  el desarrollo de  32  creaciones artísticas  y  culturales, con la entrega de  estímulos</t>
  </si>
  <si>
    <t xml:space="preserve">P </t>
  </si>
  <si>
    <t>Implementación del proceso de Gestión Cultural, bajo las políticas institucionales vigentes</t>
  </si>
  <si>
    <t>Protección de los inmuebles declarados como bienes de interés cultural de  Cali</t>
  </si>
  <si>
    <t>BP26002810</t>
  </si>
  <si>
    <t>BP2600281010101</t>
  </si>
  <si>
    <t xml:space="preserve">brindar  asistencias técnica,  para a definir  la viabilidad  de la  intervención  de 72  bienes  inmuebles  de  interés  cultural   de propiedad  privada </t>
  </si>
  <si>
    <t>Se han presentado 9 proyectos de inmuebles para estudio de concepto favorable por parte del Consejo de Patrimonio para su respectiva aprobación, 3 ubicados en San Antonio, 2 en Granada, 1 en San Vicente, 1 en San Bosco, 1 en Santa Teresita, y 1en área de expansión. También se realizó 1 visita a inmueble en San Antonio por solicitud de queja (PQRS) y se ha aprobado la exención de impuestos de 287 predios, de estos predios 94 están ubicados en San Antonio y 60 en San Cayetano.</t>
  </si>
  <si>
    <t>BP2600281010201</t>
  </si>
  <si>
    <t>Realizar 12 publicaciones del patrimonio cultural</t>
  </si>
  <si>
    <t>Se han realizado dos publicaciones:  Una en el marco de la semana santa para dar a conocer los valores patrimoniales de las iglesias San Judas Tadeo, templo de del sagrado corazón, Iglesia Santa Mónica, Conjunto Iglesia La Milagrosa y Capilla San Martín de Porras. Otra sobre los tipos de obras permitidas de acuerdo al nivel de conservación del BIC.</t>
  </si>
  <si>
    <t>Mejoramiento del sistema de gestión de calidad de la secretaria de cultura de Santiago de Cali</t>
  </si>
  <si>
    <t>BP26004630</t>
  </si>
  <si>
    <t>BP2600463010101</t>
  </si>
  <si>
    <t>Implementar el  sistema  de gestión documental , en el organismo</t>
  </si>
  <si>
    <t xml:space="preserve">Se realizó la revisión y ajuste de 20 actos administrativos (resoluciones, circulares, manuales); Se atendieron 27 PQRS radicados por usuarios externos e internos de la administración distrital, se continua con el proceso de gestión de los expedientes contractuales de las vigencias 2022 y 2023, y se han conformado 300 expedientes contractuales de la vigencia 2024.
</t>
  </si>
  <si>
    <t>BP2600463010201</t>
  </si>
  <si>
    <t xml:space="preserve">Implementar el sistema  de gestión del  organismo </t>
  </si>
  <si>
    <t xml:space="preserve">26/1/2024
</t>
  </si>
  <si>
    <t>Se avanzó con el ajuste al diagnóstico de procedimiento enmarcados en el sistema de gestión de la calidad, la formulación Plan de Desarrollo 2024 -2027, el seguimiento a los proyectos de inversión con corte al 31 de marzo y su reporte en respectivos formatos y plataformas, la gestión de 164 procesos de contratación de PS y la  fase precontractual de 4 procesos, la elaboración de piezas digitales y videos promocionales de procesos del organismo, la revisión y actualización del inventario de los bienes muebles dispuesto en el centro cultural, la revisión del estado de las afiliaciones de la ARL del personal de planta y contratista del organismo y soporte técnico (TICs) a diferentes áreas del organismo.</t>
  </si>
  <si>
    <t>Bibliotecas Públicas del proceso de Gestión Cultural certificadas bajo la norma Técnica de Gestión de Calidad ISO 9001:2015</t>
  </si>
  <si>
    <t>Normalización de bibliotecas públicas con proceso de certificación de calidad en  Cali</t>
  </si>
  <si>
    <t>BP26002862</t>
  </si>
  <si>
    <t>BP2600286210101</t>
  </si>
  <si>
    <t>Implementar un   procesos  de  gestión , orientado a  la certificación de la  calidad,  de los servicios  que presta 1  biblioteca</t>
  </si>
  <si>
    <t>Sistema de gestión implementado</t>
  </si>
  <si>
    <t xml:space="preserve">En el marco del proceso de certificación ISO90001, se realizó reunión donde se socializaron los lineaminetos de calidad al equipo de las 12 bibliotecas certificadas </t>
  </si>
  <si>
    <t>Sistema de información cultural y de gestión del patrimonio, operando</t>
  </si>
  <si>
    <t>Implementación del sistema de información cultura en Santiago de   Cali</t>
  </si>
  <si>
    <t>BP26002894</t>
  </si>
  <si>
    <t>BP2600289410101</t>
  </si>
  <si>
    <t>Implementar 1 sistema de información para la gestión administrativa</t>
  </si>
  <si>
    <t xml:space="preserve">Sistemas de información para la gestión administrativa implementados </t>
  </si>
  <si>
    <t>BP2600289410201</t>
  </si>
  <si>
    <t>Actualizar 1 sistema de información para la gestión administrativa</t>
  </si>
  <si>
    <t xml:space="preserve">Sistemas de información para la gestión administrativa actualizados </t>
  </si>
  <si>
    <t xml:space="preserve"> Ciudadanía Empoderada</t>
  </si>
  <si>
    <t>Sistema Municipal de Cultura funcionando</t>
  </si>
  <si>
    <t>Implementación del Sistema Distrital de Cultura de Santiago de  Cali</t>
  </si>
  <si>
    <t>BP26004734</t>
  </si>
  <si>
    <t>BP2600473410101</t>
  </si>
  <si>
    <t xml:space="preserve">Realizar 3 encuentros para la organización y la participación del sector artístico y cultural </t>
  </si>
  <si>
    <t xml:space="preserve">1/2/2024
</t>
  </si>
  <si>
    <t>En el marco de este producto se realizaron 25 mesas de trabajo con grupos de valor del sector y el primer encuentro de Consejos Distritales de Cultura con el objetivo establecer la alineación de las necesidades del sector con los indicadores de producto y resultado 2020 – 2023, y recopilar insumos para el ajuste y actualización del diagnóstico del Plan Decenal Cultural. También se adelantaron los trámites para la selección de representantes ante instancias de participación nacional como Consejo Nacional de las Artes y la Cultura en Cinematografía – CNACC.</t>
  </si>
  <si>
    <t>BP2600473410201</t>
  </si>
  <si>
    <t xml:space="preserve">Brindar asistencia  técnica  y acompañamiento  a 37 personas en los  espacios de  participación  cultural, a nivel  distrital y territorial </t>
  </si>
  <si>
    <t xml:space="preserve">
1/2/2024
</t>
  </si>
  <si>
    <t>Se asistió a reuniones con los comités de planificación en comunas y corregimientos, en las que se presentaron los enlaces territoriales del Organismo y la aplicación de la metodología territorial para la construcción del plan de desarrollo de comunas y corregimientos.</t>
  </si>
  <si>
    <t>Vías y andenes adecuados con inclusión social</t>
  </si>
  <si>
    <t>m2</t>
  </si>
  <si>
    <t>Adecuación de vías y andenes en Santiago de Cali</t>
  </si>
  <si>
    <t>BP26003015</t>
  </si>
  <si>
    <t>BP2600301510101</t>
  </si>
  <si>
    <t>Realizar adecuación a la Infraestructura vial y peatonal en zona urbana</t>
  </si>
  <si>
    <t xml:space="preserve">Realizar el Mejoramiento de  3500  m2 de andenes de la red urbana </t>
  </si>
  <si>
    <t>Andenes de la red urbana mejorados</t>
  </si>
  <si>
    <t xml:space="preserve">Al 31 de marzo del 2024 se alcazo mediante la intervención, recuperación y adecuación de 2 frentes de Obra: Manzana del Cuidado - Casa Matria - Comuna 15: 86.2m2
Ciclo infraestructura Calle 5ta: 33m2 
Total 119.m2
Adicionalmente, se menciona que el Grupo Operativo de la secretaria de Infraestructura se encuentra adelantando los trabajos de Intervención, Mejoramiento y adecuación de los accesos aledaños a la Galería la Floresta. Trabajos que se esperan continúen durante todo el mes de abril y cumplan con los criterios de Accesibilidad dado que los andenes en buen estado son fundamentales para garantizar la seguridad, accesibilidad, eficiencia y buena imagen urbana del Distrito de Santiago de Cali. buena imagen urbana del Distrito de Santiago de Cali.
</t>
  </si>
  <si>
    <t>Secretaría de Infraestructura - Subsecretaría de Mantenimiento Vial</t>
  </si>
  <si>
    <t>BP2600301510102</t>
  </si>
  <si>
    <t>Realizar el Mejoramiento de 0,7 Km de via urbana (equivale a 4200m2)</t>
  </si>
  <si>
    <t>Vía urbana mejorada</t>
  </si>
  <si>
    <t xml:space="preserve">Al 31 de marzo del 2024  no se ha registrado avances sobre el producto, se está desarrollando la planificación con el grupo operativo el alcance de las zonas a intervenir. </t>
  </si>
  <si>
    <t>Fortalecimiento y Gestión de los Socioecosistemas</t>
  </si>
  <si>
    <t>Vías rurales con mantenimiento anual rutinario con inclusión social</t>
  </si>
  <si>
    <t>Km</t>
  </si>
  <si>
    <t>Mantenimiento rutinario con inclusión social de las vías rurales de Santiago de Cali</t>
  </si>
  <si>
    <t>BP26002986</t>
  </si>
  <si>
    <t>BP2600298610101</t>
  </si>
  <si>
    <t>Mejorar la malla vial rural en los sectores de las cuencas de los Corregimientos de Cali</t>
  </si>
  <si>
    <t>Realizar manteminiento de 250 Km de via terciaria</t>
  </si>
  <si>
    <t xml:space="preserve">Vía terciaria con mantenimiento </t>
  </si>
  <si>
    <t>Al 31 de marzo del 2024, No se ha realizado avance del proyecto ni de las actividades ya que; en mayo se inicia el proceso contratación para su ejecución.</t>
  </si>
  <si>
    <t xml:space="preserve">Movilidad Multimodal Sustentable </t>
  </si>
  <si>
    <t>Movilidad Peatonal</t>
  </si>
  <si>
    <t>Mantenimiento de puentes peatonales de la zona urbana y rural</t>
  </si>
  <si>
    <t xml:space="preserve">Número </t>
  </si>
  <si>
    <t>Mantenimiento y rehabilitación de puentes peatonales de la zona urbana y rural de Santiago de Cali</t>
  </si>
  <si>
    <t>BP26002987</t>
  </si>
  <si>
    <t>BP2600298710101</t>
  </si>
  <si>
    <t>Mejorar el estado de las soluciones peatonales existentes en Santiago de Cali</t>
  </si>
  <si>
    <t>Realizar mantenimiento a 27 puentes peatonales</t>
  </si>
  <si>
    <t>Puente peatonal con mantenimiento</t>
  </si>
  <si>
    <t xml:space="preserve">Al 31 de marzo del 2024,No se ha realizado avance  ya que está en proceso contractual se espera que inicie en el mes de abril
Adicional, para este mes de marzo ya se solicitó RPC para ejecutar actividad de Realizar mantenimiento de puentes peatonales en la zona urbana y rural - Grupo operativo
</t>
  </si>
  <si>
    <t xml:space="preserve">Transporte Público de Pasajeros  </t>
  </si>
  <si>
    <t>km de Corredores troncales del SITM - MIO construidos</t>
  </si>
  <si>
    <t>km</t>
  </si>
  <si>
    <t>Diseño y construcción de la infraestructura física asociada al Sistema Integrado de Transporte Masivo de Cali</t>
  </si>
  <si>
    <t>BP26003057</t>
  </si>
  <si>
    <t>BP2600305710101</t>
  </si>
  <si>
    <t>Construir la infraestructura asociada  a la movilidad del transporte público en el SITM-MIO</t>
  </si>
  <si>
    <t>Realizar la Contruccion de 2 km de via urbana</t>
  </si>
  <si>
    <t>Vía urbana construida</t>
  </si>
  <si>
    <t>Al 31 de marzo del 2024, No se ha realizado, ya que es una trasferencia a metro Cali con un 100% de recursos que se hará para el mes de abril, para que se desarrolle en construir tramo 3, controles técnicos, revisión y seguimiento de obras del MIO, intervención de carriles mixto y se espera la construcción en infraestructura eléctrica y a las estaciones.</t>
  </si>
  <si>
    <t xml:space="preserve">Secretaría de Infraestructura </t>
  </si>
  <si>
    <t>BP2600305710102</t>
  </si>
  <si>
    <t>Realizar el mejoramiento de 14 km de vías urbanas</t>
  </si>
  <si>
    <t>BP2600305710105</t>
  </si>
  <si>
    <t>Realizar la Construcción de 1 terminal de transporte</t>
  </si>
  <si>
    <t>Terminales de transporte construidas</t>
  </si>
  <si>
    <t>Mejoramiento de Infraestructura Vial</t>
  </si>
  <si>
    <t>Vías y obras de drenaje en la zona urbana y rural construidas</t>
  </si>
  <si>
    <t>Construcción de vías y obras de drenaje en la zona urbana y rural de Santiago de Cali</t>
  </si>
  <si>
    <t>BP26002990</t>
  </si>
  <si>
    <t>BP2600299010102</t>
  </si>
  <si>
    <t>Aumentar la ejecucion de obras de infraestructura vial en zona urbana y rural</t>
  </si>
  <si>
    <t>Realizar la Construccion de  6,72 km de via terciaria</t>
  </si>
  <si>
    <t>Vía terciaria construida</t>
  </si>
  <si>
    <t xml:space="preserve">Al 31 de marzo del 2024, No se ha registrado avance a la meta del proyecto, debido que el Organismo se encuentra en procesos de estructuración de contratos de acuerdo con lo planificado. Adicionalmente, se espera que el proceso contractual inicie en el segundo trimestre.  
</t>
  </si>
  <si>
    <t>Construcción de obras de drenaje en el corregimiento de La Buitrera en Santiago de Cali</t>
  </si>
  <si>
    <t>BP26003988</t>
  </si>
  <si>
    <t>BP2600398810101</t>
  </si>
  <si>
    <t>Recuperar la infraestructura vial en el corregimiento de La Buitrera</t>
  </si>
  <si>
    <t>Realizar la rehabilitacion de  0,1 km de via terciaria</t>
  </si>
  <si>
    <t>Vía terciaria rehabilitada</t>
  </si>
  <si>
    <t xml:space="preserve">Al 31 de marzo del 2024, No se ha realizado avance al proyecto, debido que está en proceso de planificación y estructuración de trabajo.
Adicional se espera que inicie el proceso contractual en el mes de abril.  (En el momento ninguna actividad del proyecto se ha ejecutado en el momento)
</t>
  </si>
  <si>
    <t>Construcción de vías y obras de drenaje en el corregimiento El Saladito en Santiago de Cali</t>
  </si>
  <si>
    <t>BP26003989</t>
  </si>
  <si>
    <t>BP2600398910103</t>
  </si>
  <si>
    <t>Recuperar la infraestructura vial en el corregimiento El Saladito de Santiago de Cali</t>
  </si>
  <si>
    <t>Realizar la rehabilitacion de 2,012 km de via terciaria</t>
  </si>
  <si>
    <t>Construcción de huellas y obras de drenaje en el corregimiento La Elvira en Santiago de Cali</t>
  </si>
  <si>
    <t>BP26003990</t>
  </si>
  <si>
    <t>BP2600399010101</t>
  </si>
  <si>
    <t>Recuperar la infraestructura vial en el corregimiento la  elvira de santiago de cali</t>
  </si>
  <si>
    <t>Realizar la rehabilitacion de  1,27 km de via terciaria</t>
  </si>
  <si>
    <t>Construcción de huellas y obras de drenaje en el corregimiento felidia santiago de cali</t>
  </si>
  <si>
    <t>BP26003991</t>
  </si>
  <si>
    <t>BP2600399110102</t>
  </si>
  <si>
    <t>Recuperar la infraestructura vial en el corregimiento felidia de santiago de cali</t>
  </si>
  <si>
    <t>Realizar el mejoramiento de  250 ml de via terciaria (equivale a 0,250 km)</t>
  </si>
  <si>
    <t>Vía terciaria mejorada</t>
  </si>
  <si>
    <t>Al 31 de marzo del 2024, No se ha realizado avance al proyecto, debido que está en proceso de planificación y estructuración de trabajo.
Adicional se espera que inicie el proceso contractual en el mes de abril.  (En el momento ninguna actividad del proyecto se ha ejecutado en el momento)</t>
  </si>
  <si>
    <t>BP2600399110101</t>
  </si>
  <si>
    <t>Realizar la rehabilitacion de  0,22 km de placa huella.</t>
  </si>
  <si>
    <t>Placa huella rehabilitada</t>
  </si>
  <si>
    <t>Construcción de vías y obras de drenaje en el corregimiento la castilla de santiago de cali</t>
  </si>
  <si>
    <t>BP26003993</t>
  </si>
  <si>
    <t>BP2600399310101</t>
  </si>
  <si>
    <t>Recuperar la infraestructura vial en el corregimiento la castilla</t>
  </si>
  <si>
    <t>Al 31 de marzo del 2024, No se ha realizado avance al proyecto, debido que está en proceso de planificación y estructuración de trabajo.</t>
  </si>
  <si>
    <t>Construcción de vías y obras de drenaje en el corregimiento la paz de santiago de cali</t>
  </si>
  <si>
    <t>BP26003994</t>
  </si>
  <si>
    <t>BP2600399410101</t>
  </si>
  <si>
    <t>Recuperar la infraestructura vial en el corregimiento la paz</t>
  </si>
  <si>
    <t>Realizar la rehabilitación de 0,608 km de via terciaria</t>
  </si>
  <si>
    <t>BP2600399410103</t>
  </si>
  <si>
    <t>Realizar el mejoramiento de 0,66 km de via terciaria</t>
  </si>
  <si>
    <t>Via terciaria mejorada</t>
  </si>
  <si>
    <t>Construccion de huellas y obras de drenaje en el corregimiento de  pichinde santiago de cali</t>
  </si>
  <si>
    <t>BP26003999</t>
  </si>
  <si>
    <t>BP-2600399910102</t>
  </si>
  <si>
    <t>Recuperar la infraestructura vial en el corregimiento pichindede santiago de cali</t>
  </si>
  <si>
    <t>Realizar la rehabilitacion de  0,297 km de placa huella</t>
  </si>
  <si>
    <t xml:space="preserve"> Placa huella construida</t>
  </si>
  <si>
    <t>Construcción de huellas y obras de drenaje en el corregimiento villacarmelo santiago de cali</t>
  </si>
  <si>
    <t>BP26004000</t>
  </si>
  <si>
    <t>BP2600400010101</t>
  </si>
  <si>
    <t>Recuperar la infraestructura vial en el corregimiento villacarmelo de santiago de cali</t>
  </si>
  <si>
    <t>Realizar el mejoramiento de  2,2 km de via terciaria</t>
  </si>
  <si>
    <t>Implementación del sistema de transporte Férreo en el ámbito metropolitano funcional  Distrito de Santiago de Cali</t>
  </si>
  <si>
    <t>BP26005140</t>
  </si>
  <si>
    <t>BP-2600514010101</t>
  </si>
  <si>
    <t>Facilitar la adecuada ejecución, gestión y supervisión técnica de las obras del tren de cercanías</t>
  </si>
  <si>
    <t>Realizar via y obra de drenaje en la zona urbana y rural construida</t>
  </si>
  <si>
    <t>Al 31 de marzo del 2024, No se ha realizado ningún avance ya que; está en proceso de validación jurídica para el mecanismo de trasferencia.</t>
  </si>
  <si>
    <t>Vías con mantenimiento y rehabilitación eco sostenible</t>
  </si>
  <si>
    <t>Mantemiento de la red vial  del corregimiento de la buitrera de santiago de cali</t>
  </si>
  <si>
    <t>BP26003962</t>
  </si>
  <si>
    <t>BP-260039621010101</t>
  </si>
  <si>
    <t>Mejorar la red vial existente en el Corregimiento de La Buitrera</t>
  </si>
  <si>
    <t>Realizar  el mantenimiento de 1,50 km de vias terciaria</t>
  </si>
  <si>
    <t xml:space="preserve"> Vía terciaria con mantenimiento</t>
  </si>
  <si>
    <t>mantenimiento de la malla vial de la comuna 6 de santiago de cali</t>
  </si>
  <si>
    <t>BP26003969</t>
  </si>
  <si>
    <t>BP2600396910101</t>
  </si>
  <si>
    <t>Mejorar el estado de las vías de la comuna 6 santiago de cali</t>
  </si>
  <si>
    <t>Realizar la rehabilitacion de 0,18 km de via urbana</t>
  </si>
  <si>
    <t>Vía urbana rehabilitada</t>
  </si>
  <si>
    <t>mantenimiento de vías en la comuna 7 de santiago de cali</t>
  </si>
  <si>
    <t>BP26003970</t>
  </si>
  <si>
    <t>BP2600397010101</t>
  </si>
  <si>
    <t>Mejorar el estado de las vías de la comuna 7 santiago de cali</t>
  </si>
  <si>
    <t>Realizar la rehabilitacion de 0,1,396 km de via urbana</t>
  </si>
  <si>
    <t>mantenimiento de la malla vial de la comuna 11 de santiago de cali</t>
  </si>
  <si>
    <t>BP26003972</t>
  </si>
  <si>
    <t>BP2600397210101</t>
  </si>
  <si>
    <t>Mejorar el estado de las vías de la comuna 11 de santiago de cali</t>
  </si>
  <si>
    <t>Realizar la rehabilitacion de 1,016 km de via urbana</t>
  </si>
  <si>
    <t>mantenimiento de la malla vial de la comuna 13 de santiago de cali</t>
  </si>
  <si>
    <t>BP26003973</t>
  </si>
  <si>
    <t>BP2600397310101</t>
  </si>
  <si>
    <t>Mejorar el estado de las vías de la comuna 13 de santiago de cali</t>
  </si>
  <si>
    <t>Realizar la rehabilitacion de 1,26 km de via urbana</t>
  </si>
  <si>
    <t>mantenimiento de vías en la comuna 21 de santiago de cali</t>
  </si>
  <si>
    <t>BP26003979</t>
  </si>
  <si>
    <t>BP2600397910101</t>
  </si>
  <si>
    <t>Mejorar el estado de las vías de la comuna 21 santiago de cali</t>
  </si>
  <si>
    <t>Realizar la rehabilitacion de 0,2815 km de via urbana</t>
  </si>
  <si>
    <t>Conservación del estado de la malla vial en Santiago de Cali</t>
  </si>
  <si>
    <t>BP26004834</t>
  </si>
  <si>
    <t>BP2600483410101</t>
  </si>
  <si>
    <t>Mejorar el estado de la malla vial</t>
  </si>
  <si>
    <t>Realizar la rehabilitaciion de 0,5 Km de vias urbana</t>
  </si>
  <si>
    <t xml:space="preserve">Vía urbana rehabilitada </t>
  </si>
  <si>
    <t>Al 31 de marzo del 2024, Está en proceso contractual ya que se esta realizando planificación para la ejecución de obra en santa Mónica popular de Santiago de Cali.</t>
  </si>
  <si>
    <t>BP2600483410102</t>
  </si>
  <si>
    <t>Realizar mantenimiento de 110 Km de vias urbana</t>
  </si>
  <si>
    <t>Vía urbana con mantenimiento</t>
  </si>
  <si>
    <t xml:space="preserve">Al 31 de marzo del 2024, Se ha logrado intervenir 7,512* Metros Lineales en 22 frentes de obra distribuidos por todo el Distrito de Santiago de Cali. 
En los siguientes puntos de intervención:
• Calle 44 bis entre carrera 6 y 7 la esmeralda comuna 4
• Carrera 7a bis entre calle 82 y 84 Alfonso López comuna 7 u 8 
• Vereda los limones – corregimiento de Montebello
• Calle 38 entre carreras 5 y 7 bueno Madrid comuna 4 la isla
• Carrera 41 entre calles 41c y 42 único de vivienda popular comuna 15
• Avenida 5 oeste barrio terrón colorado 
• Carrera 41 entre calles 30 y 40 Antonio Nariño
• Carrera 37 a entre calles 16 y 17 Cristóbal colon comuna 10
• Carrera 42 a entre calles 14 y 14c Cristóbal colon comuna 10
• Carrera 42 a entre calles 46 y 47 la unión comuna 15 
• Calle 38 a entre carreras 43b y 44 republica de Israel comuna 15
• Calle 74 entre carreras 7m y 7p Alfonso López 3 comuna 7
• Carrera 32 a entre calle 49 y 50 carrera 30 a entre calle 49 y 50 Laureano Gómez comuna 15 
• Diagonal 51 con calle 10 barrio el cortijo
• Calle 70n entre avenida 3n y 6n mega 
• Avenida 6ta norte entre calle 70 y 35 la flora el bosque y chipichape
• Avenida 4 oeste entre carrera 1 y avenida 2 oeste puente santa Rita
• Avenida circunvalación con carrera 4 san Antonio
• Carrera 1 con calle 35 las delicias
• Calle con carrera 35 san Fernando 
</t>
  </si>
  <si>
    <t>Puentes vehiculares en la zona urbana y rural mantenidos</t>
  </si>
  <si>
    <t>Numero</t>
  </si>
  <si>
    <t>Mantenimiento de puentes vehiculares en la zona urbana y rural de Santiago de Cali</t>
  </si>
  <si>
    <t>BP26003007</t>
  </si>
  <si>
    <t>BP2600300710101</t>
  </si>
  <si>
    <t>Mejorar el estado de los puentes vehiculares existentes en la zona urbana de Cali</t>
  </si>
  <si>
    <t>Realizar el mantenimiento de 7 puentes vehiculares en la zona urbana</t>
  </si>
  <si>
    <t xml:space="preserve">Puente de la red vial urbana con mantenimiento </t>
  </si>
  <si>
    <t>Al 31 de marzo del 2024, No  se ha realizado ningún avance; ya que está en proceso contractual. aun esta en proceso de planificación estratégica para lograr su ejecución</t>
  </si>
  <si>
    <t xml:space="preserve">Frentes de trabajo de las 21 Megaobras ejecutados mediante el sistema de contribución por valorización </t>
  </si>
  <si>
    <t>Construcción de frentes de trabajo de las 21 Megaobras ejecutados mediante el sistema de contribución por valorización en Santiago de Cali</t>
  </si>
  <si>
    <t>BP26002991</t>
  </si>
  <si>
    <t>BP2600299110101</t>
  </si>
  <si>
    <t>Mitigar las dificultades de movilidad de los puntos criticos de la ciudad</t>
  </si>
  <si>
    <t xml:space="preserve">Realizar Construccion de  6 Km de via urbana </t>
  </si>
  <si>
    <t xml:space="preserve">Vía urbana construida </t>
  </si>
  <si>
    <t>Al 31 de marzo del 2024, No  se ha realizado ningún avance; ya que está en proceso contractual. aun esta en proceso de planificación estratégica para lograr su ejecución.  la terminación de la Carrera 80. Adicionalmente se esta apoyando en la actividad de la Administración del recaudo de la contribución de la contribución por valorización - Megaobras</t>
  </si>
  <si>
    <t>Secretaría de Infraestructura - Subsecretaría de Apoyo Técnico - Subsecretaría de Mantenimiento Vial</t>
  </si>
  <si>
    <t>Construcción de obras de estabilización y contención en la zona urbana y rural de Cali</t>
  </si>
  <si>
    <t>m3</t>
  </si>
  <si>
    <t>Construcción obras de estabilización y contención en Santiago de Cali</t>
  </si>
  <si>
    <t>BP26002992</t>
  </si>
  <si>
    <t>BP2600299210101</t>
  </si>
  <si>
    <t>Construir obras de contención, estabilización y/o drenajes en zona urbana de Santiago de Cali</t>
  </si>
  <si>
    <t>Realizar Estabilizacion de 1 sitios criticos de la red urbana (equivalente a 7m3)</t>
  </si>
  <si>
    <t>Sitio crítico de la red urbana estabilizado</t>
  </si>
  <si>
    <t>Al 31 de marzo del 2024,  No se ha realizado ningún avance ya que estamos en proceso contractual se espera iniciar en el mes de mayo</t>
  </si>
  <si>
    <t>Construcción de obras de estabilización y contención en corregimiento de la Buitrera de Santiago de Cali</t>
  </si>
  <si>
    <t>BP26003981</t>
  </si>
  <si>
    <t>BP2600398110101</t>
  </si>
  <si>
    <t>Incrementar la construcción de obras estabilizacion y contencion en en el corregimiento pichinde</t>
  </si>
  <si>
    <t>Realizar Estabilizacion de 1 sitios criticos de la red terciaria (equivalente a 65 m3)</t>
  </si>
  <si>
    <t>Sitio crítico de la red terciaria estabilizado</t>
  </si>
  <si>
    <t>Demoliciones de techos de áreas afectadas por asentamientos de desarrollo incompleto del Proyecto Plan Jarillón, realizadas con procesos de concertación y garantía de derechos</t>
  </si>
  <si>
    <t>Número</t>
  </si>
  <si>
    <t>Apoyo en la recuperación de zonas ocupadas irregularmente en el plan Jarillón de Cali</t>
  </si>
  <si>
    <t>BP26002754</t>
  </si>
  <si>
    <t>BP2600275410101</t>
  </si>
  <si>
    <t>Aumentar los recursos humanos y materiales para realizar labores de recuperacion de zonas afectadas</t>
  </si>
  <si>
    <t>Realizar 540 obras de reducción del riesgo de desastres</t>
  </si>
  <si>
    <t>Obras de infraestructura para la reducción del riesgo de desastres realizadas</t>
  </si>
  <si>
    <t xml:space="preserve">Al 31 de marzo del 2024, Se han realizado un total de 10 procesos de desmonte y demoliciones de zonas afectadas de plan Jarillón, para un total acumulado de 12 o 2,22%.
Lugares de intervención  
• Ocupación Cerro La Antena
• Ocupación espacio público, Calle 70 entre Carrera 8 y Carrera 15.
• Ocupación espacio público, Autopista Sur Oriental iniciando en el Palas, Picas, Puente del América el Puente de los Mil Días.
• Ocupación espacio público, separador vial de las calles 25 y 26 iniciando en el Puente de América — hasta la terminal de transporte — Avenida del Rio desde la Calle 25 y finalizando en CAM.
</t>
  </si>
  <si>
    <t>Intersecciones en el sistema de semaforización inteligente implementadas</t>
  </si>
  <si>
    <t>Implementación de sistema de semaforización inteligente (ssi) en Santiago de Cali</t>
  </si>
  <si>
    <t>BP-26002924</t>
  </si>
  <si>
    <t>BP2600292410101</t>
  </si>
  <si>
    <t>1 Apoyo técnico en la implementación de la infraestructura del sistema semaforico inteligente</t>
  </si>
  <si>
    <t>Infraestructura mejorada</t>
  </si>
  <si>
    <t>Se inicio la revisión de los estudios técnicos para darle continuidad al Proyecto de Semaforización inteligente</t>
  </si>
  <si>
    <t>Movilidad  - Subsecretaria de la movilidad sostenible y seguirdad vial</t>
  </si>
  <si>
    <t>BP2600292410201</t>
  </si>
  <si>
    <t>Intersecciones mejoradas</t>
  </si>
  <si>
    <t>Servicio de apoyo tecnológico para las intersecciones del sistema semaforico en la vías (el 25% de las 200 intersecciones semaforicas de la meta del cuatrenio, igual a 50 intersecciones)</t>
  </si>
  <si>
    <t>Vias con tecnologia implementada para la seguridad ciudadana</t>
  </si>
  <si>
    <t>53 Cali, Nuestra Casa Común</t>
  </si>
  <si>
    <t xml:space="preserve">                                                                                                                                                                                                                                                                                                                                                                                                                                                                                                                                                                                                                                                                                                                                                                                                                                                                                                                                                                                                                                                                                                                                                                                                                                                                                                                                                                                                                                                                                                                                                                                                                                                                                                                                                                                                                                                                                                                                                                                            </t>
  </si>
  <si>
    <t xml:space="preserve">Movilidad en Bicicleta </t>
  </si>
  <si>
    <t>Puntos de Ciclo parqueaderos en la ciudad instalados</t>
  </si>
  <si>
    <t>Construcción de cicloparqueaderos en puntos atractores de viaje en Santiago de Cali</t>
  </si>
  <si>
    <t>BP-26003058</t>
  </si>
  <si>
    <t>BP2600305810101</t>
  </si>
  <si>
    <t>Puntos de cicloparqueaderos en la ciudad instalados</t>
  </si>
  <si>
    <t>Construir 40 Ciclo parqueaderos para estacionamiento de bicicletas en Santiago de Cali.</t>
  </si>
  <si>
    <t>Cicloparqueaderos Construidos</t>
  </si>
  <si>
    <t>Ejecución de recursos FESDE para la operación del Sistema de Transporte Masivo, reportado</t>
  </si>
  <si>
    <t>Apoyo a la sostenibilidad del SITM-MIO del Distrito Santiago de Cali</t>
  </si>
  <si>
    <t>BP-26002814</t>
  </si>
  <si>
    <t>BP2600281410101</t>
  </si>
  <si>
    <t>Realizar 4 Documentos de lineamientos técnicos ejecuccion de recursos FESDE</t>
  </si>
  <si>
    <t xml:space="preserve">Estrategias financieras y operativas de optimización del SITM_MIO implementadas </t>
  </si>
  <si>
    <t>Implementación del Sistema Inteligente Integrado de Transporte Público en Santiago de  Cali</t>
  </si>
  <si>
    <t>BP-26004729</t>
  </si>
  <si>
    <t>BP260047291010101</t>
  </si>
  <si>
    <t>Sistema de transporte público de pasajeros cofinanciado</t>
  </si>
  <si>
    <t>Desarrollar 1 estrategia para la implementación del Sistema Inteligente Integrado de Transporte Público de Pasajeros (SIITP)</t>
  </si>
  <si>
    <t xml:space="preserve">Regulación, Control y Gestión Inteligente del Tránsito  </t>
  </si>
  <si>
    <t xml:space="preserve">Mantenimiento de la red semaforizada en Cali realizada </t>
  </si>
  <si>
    <t>Mantenimiento de la red semaforizada del municipio de Cali</t>
  </si>
  <si>
    <t>BP-26002902</t>
  </si>
  <si>
    <t>BP2600290210101</t>
  </si>
  <si>
    <t>Realizar 1 mantenimiento para la renovacion fisica de la infraestructura de la red semaforizada de Santiago de Cali</t>
  </si>
  <si>
    <t>A través de las cuadrillas de técnicos de semáforos pertenecientes al grupo de mantenimiento de la Subsecretaría de Movilidad Sostenible y Seguridad Vial, se realiza el mantenimiento de las  intersecciones controladas por semáforos de la ciudad de Santiago de Cali,  Dentro de los cuales, se llevó a cabo actividades de mantenimiento preventivo y correctivo a la red semaforizada.</t>
  </si>
  <si>
    <t xml:space="preserve">Puntos de la red vial del Distrito de Cali señalizados </t>
  </si>
  <si>
    <t>Mejoramiento de la señalización vial, en Santiago de   Cali</t>
  </si>
  <si>
    <t>BP-26003061</t>
  </si>
  <si>
    <t>BP2600306110101</t>
  </si>
  <si>
    <t>Realizar la señalizacion de 1.100 Puntos de Red vial en vias de la ciudad</t>
  </si>
  <si>
    <t>Vías con dispositivos de control y señalización instalados</t>
  </si>
  <si>
    <t xml:space="preserve">Al primer trimestre del 2024, se realizó la intervención a 380 puntos señalizados en la ciudad de Santiago de Cali. 
</t>
  </si>
  <si>
    <t xml:space="preserve">Operativos en vía para el control de vehículos automotores realizados </t>
  </si>
  <si>
    <t>Fortalecimiento de la Gestión Inteligente para la Regulación y Control del Transito en Santiago de Cali</t>
  </si>
  <si>
    <t>BP-26002783</t>
  </si>
  <si>
    <t>BP2600278310101</t>
  </si>
  <si>
    <t>Realizar 2000 operativos de control en diferentes puntos de la ciudad</t>
  </si>
  <si>
    <t>Operativos de control realizado</t>
  </si>
  <si>
    <t xml:space="preserve">Con la ejecucion de estos recursos se implementaron estrategias educativas y de control  con los agentes de transito realizando 959 controles operativos en via , con los cuales se pretende  una reduccion en la  mortalidad de personas involucradas en accidentes de tránsito. </t>
  </si>
  <si>
    <t xml:space="preserve">Movilidad - subsecretaria de servicios de Movilidad </t>
  </si>
  <si>
    <t>BP2600278310201</t>
  </si>
  <si>
    <t>Realizar 1 adquisición del servicio e insumos de uso diario de los agentes para el control del transito</t>
  </si>
  <si>
    <t>Organismo de tránsito dotado con implementos para el control del tránsito</t>
  </si>
  <si>
    <t>Con la ejecución de estos recursos se dio inicio a la operación del sistema de comunicaciones de la secretaria de movilidad en el marco del programa de regulación y transito</t>
  </si>
  <si>
    <t xml:space="preserve">Acciones del plan local de seguridad vial implementados </t>
  </si>
  <si>
    <t>Implementación del Plan Local de Seguridad Vial de Distrito de Santiago de Cali</t>
  </si>
  <si>
    <t>BP-26002981</t>
  </si>
  <si>
    <t>BP2600298110101</t>
  </si>
  <si>
    <t xml:space="preserve">Realizar la implementacion de 11 acciones estrategicas del  Plan de Local de seguridad vial </t>
  </si>
  <si>
    <t>Estrategias Implementadas</t>
  </si>
  <si>
    <t xml:space="preserve">Se encuentra en   proceso  de continuidad para  la ejecucion de las acciones en el marco del plan local de seguridad </t>
  </si>
  <si>
    <t xml:space="preserve">Infraestructura física y tecnológica para una atención efectiva integral al usuario realizada  </t>
  </si>
  <si>
    <t>Mejoramiento de la infraestructura física y tecnológica para una atención efectiva al usuario de la secretaria de movilidad Cali</t>
  </si>
  <si>
    <t>BP-26002813</t>
  </si>
  <si>
    <t>BP2600281310101</t>
  </si>
  <si>
    <t xml:space="preserve">Infraestructura física y tecnológica para una atención efectiva integral al usuario realizada </t>
  </si>
  <si>
    <t xml:space="preserve">Realizar 1 adecuación para la infraestructura fisica y tecnologica utilizados en la prestación de servicios a la ciudadania en el marco de la seguridad vial </t>
  </si>
  <si>
    <t>Organismos de tránsito dotados con implementos para el control del tránsito</t>
  </si>
  <si>
    <t>Se  realizó el  mantenimiento a la infraestructura física desarrollando actividades como pintura, adecuación de espacios, mantenimientos de A.A, Mamposteria y adecuaciones sanitarias, se realizo la instalación del cableado estructurado(datos y electricos) en el edificio de agentes de transito, con lo que se brindara una mejor y oportuna atención a los ciudadanos que acuden a Este organismo</t>
  </si>
  <si>
    <t>Unidad de Aapoyo a la Gestion</t>
  </si>
  <si>
    <t xml:space="preserve">Centro de enseñanza automovilística de Distrito de Cali operando </t>
  </si>
  <si>
    <t xml:space="preserve">
Servicio del centro de enseñanza automovilística del distrito de Santiago de Cali</t>
  </si>
  <si>
    <t>BP-26002903</t>
  </si>
  <si>
    <t>BP2600290310101</t>
  </si>
  <si>
    <t>Capacitar a 200 nuevos usuarios aspirantes a conductores  en el centro de enseñanza de Automovilismo</t>
  </si>
  <si>
    <t>Al primer trimestre del 2024, el centro de Enseñanzanza ha  Capacitado  a 25 nuevos usuarios aspirantes a conductores  en el centro de enseñanza de Automovilismo</t>
  </si>
  <si>
    <t>Educacion y cultura Vial</t>
  </si>
  <si>
    <t>BP2600290310201</t>
  </si>
  <si>
    <t>Adquirir 2 implementos educativos para el funcionamiento del Centro de Enseñanza</t>
  </si>
  <si>
    <t>Implementos educativos adquiridos</t>
  </si>
  <si>
    <t>Actores de la movilidad sensibilizados sobre la movilidad sostenible y segura</t>
  </si>
  <si>
    <t>Mejoramiento de los comportamientos en seguridad vial para los actores de las vias en el Municipio de Santiago de Cali-CAPACITACIÓN EN BUENAS CONDUCTAS Y PRÁCTICAS DE MOVILIDAD SEGURA A LOS ACTORES VIALES EN CALI</t>
  </si>
  <si>
    <t>BP-26003046</t>
  </si>
  <si>
    <t>BP2600304610101</t>
  </si>
  <si>
    <t xml:space="preserve">Actores de la movilidad sensibilizados sobre la movilidad sostenible y segura </t>
  </si>
  <si>
    <t>Capacitar en educacion vial    y adquirir herramientas pedagogicas para a 170.000 infractores de las reglas de transito</t>
  </si>
  <si>
    <t>Se  capacitaron 14334 Infractores de las normas de tránsito, donde se  sensibilizó en el comportamiento  vial, se adquirio el material pop con el cual se capacitan a los diferentes actores viales del distrito de santiago de cali</t>
  </si>
  <si>
    <t xml:space="preserve">Promoción y pedagogía de comportamientos y prácticas seguras para la movilidad sustentable y sobre estrategias de regulación del tránsito realizadas </t>
  </si>
  <si>
    <t>Fortalecimiento del desarrollo de estrategias de promoción y pedagogía para la movilidad sustentable en Santiago de cali</t>
  </si>
  <si>
    <t>BP-26003025</t>
  </si>
  <si>
    <t>BP2600302510101</t>
  </si>
  <si>
    <t>Sensibilizar a los actores de la movilidad en normas de tránsito y seguridad vial</t>
  </si>
  <si>
    <t>Realizar 6 campañas de promocion de seguridad vial on  gremios, colectivos, organizaciones y organismos del sector público</t>
  </si>
  <si>
    <t>Campañas realizadas</t>
  </si>
  <si>
    <t>Se realizaron 4 campañas de promoción y sensibilización en vía publica con corte a l primer trimestre  2024</t>
  </si>
  <si>
    <t>BP2600302510201</t>
  </si>
  <si>
    <t>Adquirir 1 elementos y herramientas educativas, pedagógicas y lúdícas</t>
  </si>
  <si>
    <t xml:space="preserve">Espacios de participación e interacción con los diversos actores viales y comunidad del Municipio de Cali implementados </t>
  </si>
  <si>
    <t>Fortalecimiento de los espacios de participación ciudadana para la movilidad en Santiago de Cali</t>
  </si>
  <si>
    <t>BP-26003056</t>
  </si>
  <si>
    <t>BP2600305610101</t>
  </si>
  <si>
    <t>Promover espacios de participación ciudadana en temas de movilidad de la ciudad</t>
  </si>
  <si>
    <t>Promover 50 espacios de participacion ciudadana en los territorios en temas de movilidad.</t>
  </si>
  <si>
    <t>Se promovieron  17 espacios de participacion  de movilidad, con grupos especificos ( Jac, Jal,  Comerciantes) en comunas y corregimientos del Distrito.</t>
  </si>
  <si>
    <t>Unidad de Apoyo a la Gestion</t>
  </si>
  <si>
    <t xml:space="preserve">Proceso de gestión de tránsito y transporte implementado bajo las políticas institucionales vigentes </t>
  </si>
  <si>
    <t>Fortalecimiento  del Modelo Integrado de Planeación y Gestión en la Secretaría de Movilidad para dar cumplimiento a las políticas institucionales vigentes  Cali</t>
  </si>
  <si>
    <t>BP-26002863</t>
  </si>
  <si>
    <t>BP2600286310101</t>
  </si>
  <si>
    <t>Mantener 1 proceso de gestion de transito y transporte actualizado conforme a los lineamientos institucionales de acuerdo a MIPG</t>
  </si>
  <si>
    <t xml:space="preserve">Al corte del primer trimestre del 2024, se actualizaron los documentos requeridos de los subprocesos del  MOP del organismo. Se hizo el monitoreo del mapa de riesgos del proceso de gestion del transito y transporte. Se realiza la modificación de los procedimientos requeridos por los lideres de los subprocesos. Se encuentra en proceso de avance con la actualizacion del normograma </t>
  </si>
  <si>
    <t>Cartera morosa por infracciones de tránsito, recuperada</t>
  </si>
  <si>
    <t>Recuperación de la cartera morosa de infractores de la via en la secretaria de movilidad  municipio de Santiago de Cali</t>
  </si>
  <si>
    <t>BP-26003044</t>
  </si>
  <si>
    <t>BP2600304410101</t>
  </si>
  <si>
    <t xml:space="preserve">Realizar la recuperacion  del 10%  de la cartera morosa infraciones de transito  a deudores morosos. </t>
  </si>
  <si>
    <t>Se ha logrado la recuperación de la cartera morosa por valor de $12.716.797.274,  el valor total de la cartera   es de  $ 1.460.387.436.759</t>
  </si>
  <si>
    <t>Oficina de Contravencciones</t>
  </si>
  <si>
    <t>Proyectos con ejecucion fisica en 0%</t>
  </si>
  <si>
    <t xml:space="preserve">Defensa del Consumidor </t>
  </si>
  <si>
    <t>Establecimientos de comercio nocturno vinculados al proceso de certificación de buenas prácticas de seguridad</t>
  </si>
  <si>
    <t>Habilitación  en buenas prácticas de seguridad en establecimientos de comercio nocturno en Cali</t>
  </si>
  <si>
    <t>BP26003763</t>
  </si>
  <si>
    <t>Secretaría de Seguridad y Justicia - Subsecretaría de Inspección Vigilancia y Control</t>
  </si>
  <si>
    <t>BP2600376310101</t>
  </si>
  <si>
    <t>Vincular 220 establecimientos de comercio nocturno al proceso de certificación de buenas prácticas de seguridad (Servicio de adopción y seguimiento de acciones y medidas especiales)</t>
  </si>
  <si>
    <t>Acciones y medidas especiales ejecutadas</t>
  </si>
  <si>
    <t>Se realizaron 37 visitas a establecimientos de comercio nocturno, en articulación con la Policía con el fin de verificar el cumplimiento de la documentación exigida según el artículo 87 del Código Nacional de Policía y Convivencia.</t>
  </si>
  <si>
    <t xml:space="preserve">Permisos de eventos de aglomeraciones públicas expedidos en línea </t>
  </si>
  <si>
    <t>Implementación de un sistema en línea para la expedición de permisos de eventos y aglomeraciones públicas en Santiago de   Cali</t>
  </si>
  <si>
    <t>BP26004498</t>
  </si>
  <si>
    <t>BP2600449810101</t>
  </si>
  <si>
    <t>Expedir en línea 300 permisos de eventos de aglomeraciones públicas (implementar  sistematización para el Servicio de  información)</t>
  </si>
  <si>
    <t>Agentes del mercado sensibilizados en normas de protección al consumidor</t>
  </si>
  <si>
    <t>Desarrollo de estrategia de sensibilización a los agentes del mercado en normas de protección al consumidor en Santiago de Cali</t>
  </si>
  <si>
    <t>BP26003764</t>
  </si>
  <si>
    <t>BP2600376410101</t>
  </si>
  <si>
    <t>Sensibilizar a 780 agentes del mercado en normas de protección al consumidor (Servicio de asistencia técnica en inspección, vigilancia y control)</t>
  </si>
  <si>
    <t>Asistencias técnica en Inspección, Vigilancia y Control realizadas</t>
  </si>
  <si>
    <t>se realiza la sensibilización de 70 agentes del mercado en normas de protección al consumidor, mediante el punto de atención de la Oficina de Protección al Consumidor se realiza orientación presencial a los ciudadanos sobre los derechos del consumidor.</t>
  </si>
  <si>
    <t>Personas que incurren en comportamientos contrarios a la convivencia sensibilizadas</t>
  </si>
  <si>
    <t>Prevención y atención de comportamientos contrarios a la convivencia ciudadana en Santiago de Cali</t>
  </si>
  <si>
    <t>BP26003812</t>
  </si>
  <si>
    <t>Secretaría de Seguridad y Justicia - Subsecretaría de Acceso a Servicios de Justicia</t>
  </si>
  <si>
    <t>BP2600381210101</t>
  </si>
  <si>
    <t>Sensibilizar a 1017 personas que incurren en comportamientos contrarios a la convivencia (Servicio de educación informal)</t>
  </si>
  <si>
    <t xml:space="preserve">se reportan acciones encaminadas a la validación de la metodología sobre contenidos que se deben aplicar en el proceso de sensibilización sobre comportamientos contrarios a la convivencia en el Distrito de Santiago de Cali. </t>
  </si>
  <si>
    <t>Personas participando en la estrategia de prevención de la violencia familiar y sexual</t>
  </si>
  <si>
    <t>Implementación de una estrategia integral de prevención y atención de la violencia familiar y sexual desde los servicios de acceso a la justicia con enfoque diferencial en  Cali.</t>
  </si>
  <si>
    <t>BP26003903</t>
  </si>
  <si>
    <t>BP2600390310101</t>
  </si>
  <si>
    <t>Vincular a 12625 personas en la estrategia de prevención de la violencia familiar y sexual (Servicio de educación informal en prevención del delito)</t>
  </si>
  <si>
    <t>se reportan 232 personas capacitadas mediante el pilotaje de la estrategia de  prevención de violencia en el contexto familiar y de la violencia sexual, denominada  “Cali renace sin violencia con respeto y empatía”, con tres psicosociales que a través del espacio de dialogo con las familias frente a la prevención de las violencias, comunicación asertiva, resolución de conflictos, derechos y deberes de los subsistemas que hacen parte del sistema familiar, realizaron trabajo en territorio en diferentes comunas de la ciudad.</t>
  </si>
  <si>
    <t>Seguridad y Lucha Contra el Delito</t>
  </si>
  <si>
    <t>Zonas turísticas afectadas por el delito de hurto intervenidas en seguridad y convivencia</t>
  </si>
  <si>
    <t>Implementación de estrategia de prevención del delito en zonas turísticas priorizadas en Santiago de  Cali</t>
  </si>
  <si>
    <t>BP26003164</t>
  </si>
  <si>
    <t>Secretaría de Seguridad y Justicia- Subsecretaría de Politica de Seguridad</t>
  </si>
  <si>
    <t>BP2600316410101</t>
  </si>
  <si>
    <t>Brindar 2 Servicios de inteligencia técnica</t>
  </si>
  <si>
    <t>Equipos para inteligencia adquiridos</t>
  </si>
  <si>
    <t>BP2600316410201</t>
  </si>
  <si>
    <t>Intervenir 6 zonas turísticas afectadas por el delito de hurto en seguridad y convivencia (Implemnetar  Iniciativas de convivencia y no repetición)</t>
  </si>
  <si>
    <t xml:space="preserve">Iniciativas para la promoción de la convivencia implementadas </t>
  </si>
  <si>
    <t>Agencias de seguridad para el fortalecimiento del proceso investigativo contra el crimen, apoyadas</t>
  </si>
  <si>
    <t>Fortalecimiento Agencias de Seguridad en el proceso investigativo en Santiago de Cali</t>
  </si>
  <si>
    <t>BP26003166</t>
  </si>
  <si>
    <t>BP2600316610101</t>
  </si>
  <si>
    <t>Apoyar 1 agencias de seguridad para el fortalecimiento del proceso investigativo contra el crimen (Implementar estrategias de apoyo para el acceso a la justicia policiva)</t>
  </si>
  <si>
    <t>Estrategias implementadas</t>
  </si>
  <si>
    <t>Fortalecimiento del sistema de denuncias de la fiscalía general de la Nación Seccional Cali a través del apoyo de prestadores de servicios en la recepción de las denuncias.</t>
  </si>
  <si>
    <t>Agencias de seguridad y justicia apoyadas en su operatividad</t>
  </si>
  <si>
    <t>Fortalecimiento  Integral del Centro Facilitador de Servicios Migratorios de Santiago De  Cali</t>
  </si>
  <si>
    <t>BP26003177</t>
  </si>
  <si>
    <t>BP2600317710101</t>
  </si>
  <si>
    <t>Apoyar 1 agencia de seguridad y justicia en su operatividad (Servicio de apoyo para el acceso a la justicia policiva)</t>
  </si>
  <si>
    <t>Fortalecimiento a la movilidad de la Policía de Santiago de  Cali</t>
  </si>
  <si>
    <t>BP26003753</t>
  </si>
  <si>
    <t>BP2600375310101</t>
  </si>
  <si>
    <t>Fortalecimiento logístico a la fuerza aérea para el patrullaje en Santiago de Cali</t>
  </si>
  <si>
    <t>BP26003762</t>
  </si>
  <si>
    <t>BP2600376210101</t>
  </si>
  <si>
    <t>Estrategias implemenetadas</t>
  </si>
  <si>
    <t>Fortalecimiento de la operatividad de las agencias de seguridad y justicia a través del plan integral de seguridad y convivencia ciudadana en Santiago de Cali</t>
  </si>
  <si>
    <t>BP26003765</t>
  </si>
  <si>
    <t>BP2600376510101</t>
  </si>
  <si>
    <t>Apoyar a las agencias de seguridad y justicia en su operatividad (Servicio de apoyo para el acceso a la justicia policiva)</t>
  </si>
  <si>
    <t>Fortalecimiento de la operatividad de las Unidades de la Tercera Brigada del Ejército en Santiago de  Cali</t>
  </si>
  <si>
    <t>BP26004221</t>
  </si>
  <si>
    <t>BP2600422110101</t>
  </si>
  <si>
    <t>Estrategias implimentadas</t>
  </si>
  <si>
    <t>Apoyo en la Operatividad de la Policía Metropolitana y del CTI en Santiago de  Cali</t>
  </si>
  <si>
    <t>BP26004442</t>
  </si>
  <si>
    <t>BP2600444210101</t>
  </si>
  <si>
    <t>Suministro del servicio de voz y datos para equipos de localización PDA de la Policía Metropolitana de Cali. Con el propósito de implementar el Modelo Nacional de Vigilancia Comunitaria por Cuadrantes (MNVCC).</t>
  </si>
  <si>
    <t>Apoyo a la Unidad Nacional de Protección de Santiago de  Cali</t>
  </si>
  <si>
    <t>BP26004443</t>
  </si>
  <si>
    <t>BP2600444310101</t>
  </si>
  <si>
    <t xml:space="preserve">Estrategias implementadas </t>
  </si>
  <si>
    <t>Infraestructura de agencias de seguridad y justicia adecuadas</t>
  </si>
  <si>
    <t>Adecuación de la infraestructura física de los organismos de seguridad y justicia de Santiago de Cali</t>
  </si>
  <si>
    <t>BP26003255</t>
  </si>
  <si>
    <t>BP2600325510101</t>
  </si>
  <si>
    <t xml:space="preserve">Adecuar 5 Infraestructuras de agencias de seguridad para la promoción a la cultura de la legalidad y a la convivencia </t>
  </si>
  <si>
    <t>Numero de centros</t>
  </si>
  <si>
    <t>Adecuación de infraestructura física a agencias de seguridad de la comuna 22 en Santiago de  Cali</t>
  </si>
  <si>
    <t>BP26004076</t>
  </si>
  <si>
    <t>BP2600407610101</t>
  </si>
  <si>
    <t xml:space="preserve">Adecuar Infraestructura para la promoción a la cultura de la legalidad y a la convivencia </t>
  </si>
  <si>
    <t>Mesas de seguridad vecinales con enfoque de prevención situacional del delito operando</t>
  </si>
  <si>
    <t>Desarrollo de estrategias para la prevención situacional del delito en Santiago de Cali</t>
  </si>
  <si>
    <t>BP26005080</t>
  </si>
  <si>
    <t>BP2600508010101</t>
  </si>
  <si>
    <t>Promover 9 espacios de participación ciudadana</t>
  </si>
  <si>
    <t>Espacios de participación promovidos</t>
  </si>
  <si>
    <t>Se realizaron 3 jornadas diagnósticas territoriales con los equipos previamente conformados para identificar factores de riesgo y herramientas de protección con las comunidades para construir participativamente los planes de trabajo para su mitigación</t>
  </si>
  <si>
    <t>Sistemas de monitoreo y alerta del delito implementado</t>
  </si>
  <si>
    <t>Fortalecimiento del sistema de monitoreo y alerta del delito en la comuna 17 de Cali</t>
  </si>
  <si>
    <t>BP26004982</t>
  </si>
  <si>
    <t>BP2600498210101</t>
  </si>
  <si>
    <t>Implementar 16 sistemas de monitoreo y alerta del delito (Incrementar el vigilancia a través de cámaras de seguridad)</t>
  </si>
  <si>
    <t xml:space="preserve">Cámaras de seguridad instaladas
</t>
  </si>
  <si>
    <t>Fortalecimiento del sistema de monitoreo y alerta del delito en la comuna 22 de Santiago de Cali</t>
  </si>
  <si>
    <t>BP26003736</t>
  </si>
  <si>
    <t>BP2600373610101</t>
  </si>
  <si>
    <t>Implementar 26 sistemas de monitoreo y alerta del delito (Instalar Cámaras de seguridad)</t>
  </si>
  <si>
    <t>Camaras de seguridad instaladas</t>
  </si>
  <si>
    <t>BP2600373610102</t>
  </si>
  <si>
    <t>Implementar 1 sistemas de monitoreo y alerta del delito (Instalar Cámaras de seguridad)</t>
  </si>
  <si>
    <t>Infraestructura para la promoción a la cultura de la legalidad y a la convivencia dotada</t>
  </si>
  <si>
    <t>Fortalecimiento del sistema de monitoreo, video vigilancia y alerta del delito en Santiago de  Cali</t>
  </si>
  <si>
    <t>BP26003738</t>
  </si>
  <si>
    <t>BP2600373810101</t>
  </si>
  <si>
    <t>Implementar 64 sistemass de monitoreo y alerta del delito (Servicio de inteligencia técnica)</t>
  </si>
  <si>
    <t>Entornos de las Instituciones Educativas intervenidos con estrategia intersectorial de erradicación del microtráfico</t>
  </si>
  <si>
    <t>Implementación de estrategia intersectorial de erradicación del microtráfico en los entornos de las Instituciones Educativas en  Cali</t>
  </si>
  <si>
    <t>BP26003275</t>
  </si>
  <si>
    <t>BP2600327510101</t>
  </si>
  <si>
    <t>Intervenir 6 entornos de las instituciones educativas con estrategia intersectorial de erradicación del microtráfico (Promocionar iniciativas de convivencia y no repetición)</t>
  </si>
  <si>
    <t>Iniciativas para la promoción de la convivencia implementadas</t>
  </si>
  <si>
    <t xml:space="preserve">Se realizaron 3 jornadas de revisión de estupefacientes y prevención del consumo a niños, niñas y adolescentes en las instituciones educativas: Técnico Industrial Simón Rodríguez, Institución educativa Diamante sede Juan Pablo II e Institución educativa Golondrinas. Dichas visitas se han programado con base en las denuncias comunitarias sobre problemáticas de convivencia en estos planteles educativos. </t>
  </si>
  <si>
    <t>BP2600327510201</t>
  </si>
  <si>
    <t>Brindar 6 asistencias técnicas a las Instituciones educativas para la erradicación del microtrafico</t>
  </si>
  <si>
    <t>Infraestructura penitenciaria adecuada</t>
  </si>
  <si>
    <t>Mejoramiento de la infraestructura penitenciaria de Cali</t>
  </si>
  <si>
    <t>BP26003278</t>
  </si>
  <si>
    <t>BP2600327810101</t>
  </si>
  <si>
    <t>Adecuar 2 Infraestructura penitenciaria (Infraestructura penitenciaria y carcelaria con mejoramiento)</t>
  </si>
  <si>
    <t>Establecimiento de reclusión (nacionales y territoriales) con mejoramiento</t>
  </si>
  <si>
    <t>Población de adultos y adolescentes que incurren en responsabilidad penal, intervenidos con acompañamiento psicosocial y/o procesos de justicia restaurativa</t>
  </si>
  <si>
    <t>Desarrollo de una estrategia de justicia restaurativa para adultos y adolescentes que incurren en responsabilidad penal en Cali.</t>
  </si>
  <si>
    <t>BP26003282</t>
  </si>
  <si>
    <t>BP2600328210101</t>
  </si>
  <si>
    <t>Intervenir a 75 adultos y adolescentes que incurren en responsabilidad penal, con acompañamiento psicosocial y procesos de justicia restaurativa (Brindar asistencia técnica para la resocialización e inclusión social)</t>
  </si>
  <si>
    <t>Asistencias técnicas en resocialización inclusión social realizadas</t>
  </si>
  <si>
    <t>Centros de formación para menores infractores adecuados</t>
  </si>
  <si>
    <t>Mejoramiento  de la infraestructura de los Centros de formación para Adolescentes en conflicto con la ley de Santiago de Cali</t>
  </si>
  <si>
    <t>BP26003790</t>
  </si>
  <si>
    <t>BP2600379010101</t>
  </si>
  <si>
    <t>Adecuar 2 Centros de Atención Especializada - CAE para el restablecimiento de derechos</t>
  </si>
  <si>
    <t>Centros de Atención Especializada - CAE para el restablecimiento de derechos adecuados</t>
  </si>
  <si>
    <t>Despachos de Acceso a la Justicia adecuados</t>
  </si>
  <si>
    <t>Adecuación de Despachos de Acceso a la Justicia en Santiago de   Cali</t>
  </si>
  <si>
    <t>BP26003288</t>
  </si>
  <si>
    <t>BP2600328810101</t>
  </si>
  <si>
    <t>Adecuar 5 despachos de acceso a la justicia para la promoción a la cultura de la legalidad y a la convivencia)</t>
  </si>
  <si>
    <t>Infraestructurapara la promoción a la cultura de la legalidad y a la convivencia  adecuada</t>
  </si>
  <si>
    <t>Víctimas protegidas en la ruta de riesgo de amenaza de violencia (RIAV)</t>
  </si>
  <si>
    <t>Implementación Programa de protección de victimas en riesgo de amenaza  Cali</t>
  </si>
  <si>
    <t>BP26003314</t>
  </si>
  <si>
    <t>Secretaría de Seguridad y Justicia- SubSecretaría de Politica de Seguridad</t>
  </si>
  <si>
    <t>BP2600331410101</t>
  </si>
  <si>
    <t xml:space="preserve">Brindar atención a 30 victimas en servicio de protección individual en riesgo extraordinario y extremo
</t>
  </si>
  <si>
    <t>Personas en riesgo extraordinario y extremo protegidas</t>
  </si>
  <si>
    <t>Se atendieron 13 casos entre las tres poblaciones objetivo, garantizando la socialización y activación de las rutas a Lideresas y Líderes Defensores de DD. HH, amenazados por el ejercicio - Decreto 1066 2015; Víctimas del Conflicto Armado amenazados - Ley 1448 2011 y el protocolo de atención a Mujeres en Riesgo de Feminicidio - Ley 1257 2008. Desde el Equipo de Acción de Emergencias (EAE), hemos atendido de manera integral las tres poblaciones objetivo</t>
  </si>
  <si>
    <t>Poblaciones construyendo territorio</t>
  </si>
  <si>
    <t>Jóvenes vinculados a situaciones delictivas, intervenidos</t>
  </si>
  <si>
    <t>Prevención de las violencias en jóvenes vinculados a situaciones delictivas de la comuna 15 de Cali</t>
  </si>
  <si>
    <t>BP26003483</t>
  </si>
  <si>
    <t>BP2600348310101</t>
  </si>
  <si>
    <t>Intervenir a 130 jóvenes vinculados a situaciones delictivas (Brindar educación informal)</t>
  </si>
  <si>
    <t>BP2600348310201</t>
  </si>
  <si>
    <t>Brindar 1 servicio de promoción de convivencia y no repetición</t>
  </si>
  <si>
    <t>Iniciativas para la promoción de la Convivencia Implementadas.</t>
  </si>
  <si>
    <t>Desarrollo de acciones para la prevención de jóvenes a situaciones delictivas de la comuna 21 en Santiago de  Cali</t>
  </si>
  <si>
    <t>BP26004980</t>
  </si>
  <si>
    <t>BP2600498010101</t>
  </si>
  <si>
    <t>Intervenir a 100 jóvenes vinculados a situaciones delictivas (Brindar educación informal)</t>
  </si>
  <si>
    <t xml:space="preserve">Personas capacitadas 
</t>
  </si>
  <si>
    <t>Prevención a la vinculación de jóvenes en situaciones delictivas en Santiago de Cali</t>
  </si>
  <si>
    <t>BP26003756</t>
  </si>
  <si>
    <t>BP2600375610101</t>
  </si>
  <si>
    <t>Intervenir a 390 jóvenes vinculados a situaciones delictivas (Brindar educación informal)</t>
  </si>
  <si>
    <t>BP2600375610201</t>
  </si>
  <si>
    <t xml:space="preserve">Implementar 1 iniciativas para la  promoción de convivencia y no repetición
</t>
  </si>
  <si>
    <t xml:space="preserve">Iniciativas para la promoción de la convivencia implementadas
</t>
  </si>
  <si>
    <t>Desarrollo de estrategias para la prevención de jóvenes a situaciones delictivas de la comuna 12 en Santiago de  Cali</t>
  </si>
  <si>
    <t>BP26004983</t>
  </si>
  <si>
    <t>BP2600498310101</t>
  </si>
  <si>
    <t xml:space="preserve">Todas las Mujeres Todos los Derechos </t>
  </si>
  <si>
    <t xml:space="preserve">Mujeres participando en estrategia de prevención de las violencias basadas en género y feminicidios </t>
  </si>
  <si>
    <t>Prevención de las violencias basadas en género y feminicidio en   Cali</t>
  </si>
  <si>
    <t>BP26002933</t>
  </si>
  <si>
    <t>BP2600293310101</t>
  </si>
  <si>
    <t>Vincular a 2726 mujeres en las estrategias de prevención de las violencias basadas en género y feminicidio (Desaerrollar estrategias promocinando el acceso a la justicia)</t>
  </si>
  <si>
    <t>Estrategias de acceso a la justicia desarrolladas</t>
  </si>
  <si>
    <t>BP2600293310201</t>
  </si>
  <si>
    <t>Realizar campaña de  divulgación promoviendo el acceso a la Justicia</t>
  </si>
  <si>
    <t>Campañas de divulgación ejecutadas</t>
  </si>
  <si>
    <t>Espacio Público para la Integración SocioEcológica</t>
  </si>
  <si>
    <t>Vendedores informales organizados en el espacio público por actividad económica</t>
  </si>
  <si>
    <t>Desarrollo de una  estrategia de regulación de los Vendedores Informales en   Cali</t>
  </si>
  <si>
    <t>BP26002845</t>
  </si>
  <si>
    <t>BP2600284510101</t>
  </si>
  <si>
    <t>Organizar a 150 vendedores informales en el espacio público por actividad ecnómica (Desarrollar estrategia de  adopción y seguimiento de acciones y medidas especiales)</t>
  </si>
  <si>
    <t xml:space="preserve">
Acciones y medidas especiales ejecutadas</t>
  </si>
  <si>
    <t xml:space="preserve">Por medio del equipo operativo se reguló e intervino el espacio público en la ciudad de Cali, consiguiendo la organización de 187 vendedores informales.
</t>
  </si>
  <si>
    <t>BP2600284510201</t>
  </si>
  <si>
    <t xml:space="preserve">Brindar servicio de comunicación y divulgación en inspección, vigilancia y control </t>
  </si>
  <si>
    <t xml:space="preserve">
Productos de comunicación difundidos</t>
  </si>
  <si>
    <t>BP26005091</t>
  </si>
  <si>
    <t>BP2600509110101</t>
  </si>
  <si>
    <t>Realziar 650 diligencias de inspección, vigilancia y control (Servicio de inspección, vigilancia y control )</t>
  </si>
  <si>
    <t>Diligencia de inspección realizadas</t>
  </si>
  <si>
    <t>BP2600509110201</t>
  </si>
  <si>
    <t>Capacitar a 100 personas en normas de conservación y protección del espacio público (Servicio de educación informal)</t>
  </si>
  <si>
    <t>Corredores viales principales con control a la saturación visual de publicidad exterior visual ilegal</t>
  </si>
  <si>
    <t>Descontaminación de corredores viales de publicidad exterior visual en Santiago de  Cali</t>
  </si>
  <si>
    <t>BP26003162</t>
  </si>
  <si>
    <t>BP2600316210101</t>
  </si>
  <si>
    <t>Controlar 13 corredores viales pincipales de la saturación visual de publicidad exterior visual ilegal (Realizar diliigencias de inspección, vigilancia y control)</t>
  </si>
  <si>
    <t xml:space="preserve">Diligencias de inspección realizadas </t>
  </si>
  <si>
    <t>En el desarrollo de las intervenciones de inspección, vigilancia y control, se atendieron diecisiete (17) corredores viales, siendo este descontaminado de elementos de publicidad exterior visual.</t>
  </si>
  <si>
    <t xml:space="preserve">Cali, Nuestra Casa Común </t>
  </si>
  <si>
    <t xml:space="preserve">Gobernanza, Gobernabilidad y Cultura Ambiental  </t>
  </si>
  <si>
    <t xml:space="preserve">Techos a la intemperie en zonas protegidas y no protegidas desmontados </t>
  </si>
  <si>
    <t>Restitución de espacio público y privado por desmonte de techos en zonas protegidas y no protegidas en Santiago de   Cali</t>
  </si>
  <si>
    <t>BP26003318</t>
  </si>
  <si>
    <t>BP2600331810101</t>
  </si>
  <si>
    <t>Desmontar 648 techos a la interperie en zonas protegidas y no protegidas (Realizar jornadas  de prevención, vigilancia y control de las áreas protegidas)</t>
  </si>
  <si>
    <t>Áreas cubiertas con jornadas de vigilancia (Hectáreas)</t>
  </si>
  <si>
    <t xml:space="preserve">Reducción del Riesgo  </t>
  </si>
  <si>
    <t xml:space="preserve">Bocaminas activas ilegales cerradas  </t>
  </si>
  <si>
    <t>Erradicación de la minería ilegal en el parque Nacional Natural los Farallones de Cali</t>
  </si>
  <si>
    <t>BP26003317</t>
  </si>
  <si>
    <t>BP2600331710101</t>
  </si>
  <si>
    <t xml:space="preserve">Bocaminas activas ilegales cerradas </t>
  </si>
  <si>
    <t>Cerrar 7 bocaminas activas ilegales (Servicio de asistencia técnica en el marco de la formulación e implementación de proyectos demostrativos para la reducción de impactos ambientales de la minería)</t>
  </si>
  <si>
    <t>Proyectos demostrativos para la reducción de impactos ambientales de la minería diseñados</t>
  </si>
  <si>
    <t>Procesos institucionales de la Secretaría de Seguridad y Justicia mejorados, conforme a los requerimientos de las políticas institucionales vigentes</t>
  </si>
  <si>
    <t>Fortalecimiento de la gestión institucional en la secretaría de seguridad y justicia de Santiago de Cali</t>
  </si>
  <si>
    <t>BP26003832</t>
  </si>
  <si>
    <t>Secretaría de Seguridad y Justicia- UAG</t>
  </si>
  <si>
    <t>BP2600383210101</t>
  </si>
  <si>
    <t>Elaborar 2 Documentos de evaluación</t>
  </si>
  <si>
    <t>Se iniciaron las actividades encaminadas a las gestiones realizadas en la implementación de MIPG de la secretaria de Seguridad y Justicia</t>
  </si>
  <si>
    <t>BP2600383210201</t>
  </si>
  <si>
    <t>Brindar 1 servicio de información actualizado</t>
  </si>
  <si>
    <t>Investigaciones producidas por el observatorio de seguridad</t>
  </si>
  <si>
    <t>Fortalecimiento del componente investigativo del Observatorio de Seguridad  de   Cali</t>
  </si>
  <si>
    <t>BP26003157</t>
  </si>
  <si>
    <t>Secretaría de Seguridad y Justicia- Subsecretaría de politica de Seguridad</t>
  </si>
  <si>
    <t>BP2600315710101</t>
  </si>
  <si>
    <t>Producir 1 investigación por el observatorio de seguridad (Elaborar Documentos de investigación)</t>
  </si>
  <si>
    <t xml:space="preserve">Documentos de investigación elaborados
</t>
  </si>
  <si>
    <t xml:space="preserve">Se realizó la propuesta de investigación denominada ‘Barreras en la ruta de atención de Violencias Basadas en Género y estrategias para la superación de las mismas’. Dicha propuesta se encuentra actualmente en la fase de procesamiento de información y sistematización de entrevistas.  </t>
  </si>
  <si>
    <t>BP2600315710201</t>
  </si>
  <si>
    <t>Construir Documentos metodológicos</t>
  </si>
  <si>
    <t xml:space="preserve">Documentos metodológicos realizados
</t>
  </si>
  <si>
    <t xml:space="preserve">Se realizó el proceso de sistematización y transcripción de las entrevistas. Asimismo, se avanzó en los acercamientos y la recolección de información de tipo cuantitativo para complementar los análisis. Se han recibido las bases de datos del Observatorio para la Equidad de las Mujeres de la Universidad ICESI y la Fundación WWB Colombia y los datos provenientes de la encuesta de autonomía económica y percepción de Violencias Basadas en Género producida por estas entidades. Por lo anterior, se cuenta a la fecha con un avance del 45%. </t>
  </si>
  <si>
    <t>Centro de Gestión del Conocimiento y la Innovación en materia de seguridad y justicia funcionando</t>
  </si>
  <si>
    <t>Implementación de un Centro de Gestión del Conocimiento y la Innovación en materia de seguridad y justicia  Cali</t>
  </si>
  <si>
    <t>BP26003076</t>
  </si>
  <si>
    <t>BP2600307610101</t>
  </si>
  <si>
    <t>Implementar un centro de gestión del conocimiento y la innovación en materia de seguridad y justicia (Construir Documentos metodológicos)</t>
  </si>
  <si>
    <t xml:space="preserve">Se identificaron las metodologías de análisis implementadas y documentadas en el Observatorio de Seguridad. A partir de este inventario se pre-seleccionaron las más estratégicas de acuerdo con las necesidades de información y análisis expuestas por la Secretaría de Seguridad y Justicia en relación con la generación de evidencia que facilite la toma de decisiones estratégicas en materia de seguridad y convivencia. </t>
  </si>
  <si>
    <t>BP2600307610201</t>
  </si>
  <si>
    <t>Implementar un centro de gestión del conocimiento y la innovación en materia de seguridad y justicia (Elaborar Documentos Planeación)</t>
  </si>
  <si>
    <t xml:space="preserve">Planes estratégicos elaborados
</t>
  </si>
  <si>
    <t xml:space="preserve">A partir de la formulación inicial del plan estratégico para la creación y puesta en marcha de un Centro de Gestión del Conocimiento y la innovación en materia de seguridad y justicia, se tuvo acercamientos con los socios técnicos identificados para tal fin, de tal manera que se avance en el diseño e implementación de un sistema de información integrado para la Secretaría de Seguridad y Justicia, la elaboración de productos de conocimiento dirigidos a los distintos públicos objetivos del Observatorio. </t>
  </si>
  <si>
    <t>Sistema interactivo de reporte de quejas en línea de construcciones, antenas irreglamentarias y obras, implementado</t>
  </si>
  <si>
    <t>Implementación sistema interactivo reporte de quejas en línea de construcciones, antenas irreglamentarias y obras en  Cali</t>
  </si>
  <si>
    <t>BP26003163</t>
  </si>
  <si>
    <t>BP2600316310101</t>
  </si>
  <si>
    <t>Realizar 3.500 acciones de inspección, vigilancia y control</t>
  </si>
  <si>
    <t>Diligencias de inspección realizadas</t>
  </si>
  <si>
    <t xml:space="preserve">En el desarrollo de las intervenciones de inspección, vigilancia y control, se atendieron un total de 309 diligencias de inspección de competencia del área que comprende las visitas control a construcción preventiva y rutinaria, visitas de control a ornato, visitas de control a equipos de transporte vertical y visitas por atención a PQRS. </t>
  </si>
  <si>
    <t>BP2600316310201</t>
  </si>
  <si>
    <t>Implementar un sistema interactivo de reporte de quejas en línea de construcciones, antenas irreglamentarias y obras (Implementar Servicio información)</t>
  </si>
  <si>
    <t>Eventos deportivos y recreativos de innovación locales, nacionales e internacionales, realizados</t>
  </si>
  <si>
    <t>Recreación a través de Eventos Deportivos y Recreativos en la Comuna 6 de Santiago de Cali</t>
  </si>
  <si>
    <t>BP26003941</t>
  </si>
  <si>
    <t>BP2600394110101</t>
  </si>
  <si>
    <t>Eventos deportivos comunitarios realizados</t>
  </si>
  <si>
    <t>Realizar un (1) evento  deportivo y recreativo</t>
  </si>
  <si>
    <t>En el periodo se organizó los grupos de contratación para la ejecución de los proyectos, se solicitó la aprobación del Plan Anual de Caja – PAC y Plan Anual de Adquisiciones – PAA. Por otra parte, se actualizó los presupuestos de acuerdo al cambio de anualidad y se inició estructuración de los documentos pre-contractuales.</t>
  </si>
  <si>
    <t>Secretaría del Deporte y la Recreación - 
Subsecretaría de Fomento al Deporte</t>
  </si>
  <si>
    <t>Desarrollo de Eventos Deportivos y Recreativos de Innovación Locales, Nacionales e Internaionales en Santiago de Cali</t>
  </si>
  <si>
    <t>BP26004726</t>
  </si>
  <si>
    <t>BP2600472610101</t>
  </si>
  <si>
    <t>Realizar 5 eventos  deportivos y recreativos</t>
  </si>
  <si>
    <t>Se realizó contrato de interés público con la Liga Vallecaucana de Futbol Nro. 4162.010.26.1.0287-2024 por un valor de $300.000.000 millones para cubrir el hopedaje y la alimentación de los equipos invitados al cuadrangular femenino The Women´s cup.</t>
  </si>
  <si>
    <t>Recreación y Deporte con Eventos en la Comuna 13 de Santiago de Cali</t>
  </si>
  <si>
    <t>BP26004772</t>
  </si>
  <si>
    <t>BP2600477210101</t>
  </si>
  <si>
    <t>Recreación y Deporte con Eventos en la Comuna 2 de Santiago de Cali</t>
  </si>
  <si>
    <t>BP26004851</t>
  </si>
  <si>
    <t>BP2600485110101</t>
  </si>
  <si>
    <t>Recreación y Deporte con Eventos en el Corregimiento de Golondrinas de Santiago de Cali</t>
  </si>
  <si>
    <t>BP26004970</t>
  </si>
  <si>
    <t>BP2600497010101</t>
  </si>
  <si>
    <t>Recreación y Deporte con Eventos en la Comuna 21 de Santiago de Cali</t>
  </si>
  <si>
    <t>BP26004990</t>
  </si>
  <si>
    <t>BP2600499010101</t>
  </si>
  <si>
    <t>Recreación y Deporte con Eventos en la Comuna 3 de Santiago de Cali</t>
  </si>
  <si>
    <t>BP26004998</t>
  </si>
  <si>
    <t>BP2600499810101</t>
  </si>
  <si>
    <t>Recreación y Deporte con Eventos en la Comuna 10 de Santiago de Cali</t>
  </si>
  <si>
    <t>BP26005011</t>
  </si>
  <si>
    <t>BP2600501110101</t>
  </si>
  <si>
    <t>Recreación y Deporte con Eventos en la Comuna 12 de Santiago de Cali</t>
  </si>
  <si>
    <t>BP26005020</t>
  </si>
  <si>
    <t>BP2600502010101</t>
  </si>
  <si>
    <t>Recreación y Deporte con Eventos en la Comuna 14 de Santiago de Cali</t>
  </si>
  <si>
    <t>BP26005050</t>
  </si>
  <si>
    <t>BP2600505010101</t>
  </si>
  <si>
    <t>Recreación y Deporte con Eventos en la Comuna 22 de Santiago de Cali</t>
  </si>
  <si>
    <t>BP26005053</t>
  </si>
  <si>
    <t>BP2600505310101</t>
  </si>
  <si>
    <t>Ligas, clubes y deportistas para el desarrollo del distrito deportivo, apoyados</t>
  </si>
  <si>
    <t>Apoyo al Desarrollo Deportivo de Clubes y Deportistas de Santiago de Cali</t>
  </si>
  <si>
    <t>BP26004703</t>
  </si>
  <si>
    <t>BP2600470310101</t>
  </si>
  <si>
    <t>Organismos deportivos apoyados</t>
  </si>
  <si>
    <t>Prestar un (1) servicio de asistencia técnica para la promoción del deporte
(auspicio de clubes deportivos).</t>
  </si>
  <si>
    <t>Servicio de asistencia técnica para la promoción del deporte</t>
  </si>
  <si>
    <t xml:space="preserve">Se inició proceso para implementar el punto de atención en la secretaria del Deporte, donde se brindará asesorías técnicas a clubes. </t>
  </si>
  <si>
    <t>BP2600470310201</t>
  </si>
  <si>
    <t>Brindar un (1) servicio de apoyo financiero a atletas</t>
  </si>
  <si>
    <t>Estímulos entregados</t>
  </si>
  <si>
    <t>BP2600470310301</t>
  </si>
  <si>
    <t xml:space="preserve">Realizar 5 documentos de lineamientos técnicos </t>
  </si>
  <si>
    <t>Número de documentos</t>
  </si>
  <si>
    <t>Niñas, niños de primera infancia beneficiados anualmente con experiencias en juego, lúdica y recreación</t>
  </si>
  <si>
    <t>Recreación con Experiencias de juego y Lúdica a Niñas y Niños de Primera Infancia de Santiago de Cali</t>
  </si>
  <si>
    <t>BP26004705</t>
  </si>
  <si>
    <t>BP2600470510101</t>
  </si>
  <si>
    <t>Promover experiencias de juego, lúdica y recreación para 400 niñas y niños de primera infancia</t>
  </si>
  <si>
    <t>Personas que acceden a servicios deportivos, recreativos y de actividad física</t>
  </si>
  <si>
    <t>En el periodo enero – marzo de 2024 se realizó la conformación del grupo metodológico y técnico para el programa juego, lúdica y recreación para niñas y niños de primera infancia. Se hizo la proyección del proceso de intervención con ludotecas y se estructuró las guías metodológicas del población de la primera infancia.</t>
  </si>
  <si>
    <t>Niñas, niños de infancia, adolescencia y juventud beneficiados anualmente con experiencias en juego, lúdica y recreación</t>
  </si>
  <si>
    <t>Recreación, Juego y Lúdica con Niños y Niñas De Infancia, Adolescentes y Jóvenes de Santiago de Cali.</t>
  </si>
  <si>
    <t>BP26004706</t>
  </si>
  <si>
    <t>BP2600470610101</t>
  </si>
  <si>
    <t>Fomentar experiencias de juego, lúdica y recreación para 500 niños, adolescentes y jóvenes</t>
  </si>
  <si>
    <t>En el periodo enero – marzo de 2024 se realizó la estructuración del equipo metodológico y técnico del programa y el diseño de las guías metodológicas de la población de infancia, adolescencia y juventud y el inicio de las jornadas en recreación en la comuna 14 en el Boulevard del Oriente, Comuna 13 en Omar Torrijos, en la comuna 18 Altos de Santa Elena y comuna 21 Tercer Milenio.</t>
  </si>
  <si>
    <t>Niñas, niños, adolescentes, jóvenes y adultos (incluidos con discapacidad) beneficiados anualmente con programas de iniciación y formación deportiva en disciplinas tradicionales y de nuevas tendencias en comunas y corregimientos</t>
  </si>
  <si>
    <t>Aprovechamiento del Tiempo Libre con Iniciación y Formación Deportiva en Santiago de Cali</t>
  </si>
  <si>
    <t>BP26004707</t>
  </si>
  <si>
    <t>BP2600470710101</t>
  </si>
  <si>
    <t>Niñas, niños, adolescentes, jóvenes y adultos (incluidos con discapacidad) beneficiados anualmente con programas de iniciación y formación deportiva</t>
  </si>
  <si>
    <t>Beneficiar 2000 Niños, niñas, adolescentes y jóvenes inscritos en Escuelas Deportivas.</t>
  </si>
  <si>
    <t>Niños, niñas, adolescentes y jóvenes inscritos en Escuelas Deportivas</t>
  </si>
  <si>
    <t>En el mes de marzo, se dispone de una oferta variada de diferentes disciplinas deportivas, en algunas comunas y corregimientos del distrito de Santiago de Cali. La parrilla de atención del proyecto oferta 40 puntos de atención inicialmente. Al corte 31 de marzo se tienen 420 niños, niñas, adolescentes y jóvenes inscritos en Escuelas Deportivas.</t>
  </si>
  <si>
    <t>BP2600470710201</t>
  </si>
  <si>
    <t>Beneficiar 500 jóvenes y adultos con iniciación y formación deportiva tradicionales y de nuevas tendencias</t>
  </si>
  <si>
    <t>En el mes de febrero y marzo, fue necesario revisar y ajustar la cadena de valor del proyecto, se actualizaron los presupuestos de acuerdo a las metas fijadas, se estructuró la metodología de funcionamiento y mallas técnicas</t>
  </si>
  <si>
    <t>BP2600470710301</t>
  </si>
  <si>
    <t xml:space="preserve">Beneficiar 300 personas con preparación de rendimiento deportivo en disciplinas individuales y de conjunto </t>
  </si>
  <si>
    <t xml:space="preserve">En el mes de marzo se realizó proceso de vinculación del personal técnico del programa (entrenadores, metodólogos y biomédicos), para dar inicio a las labores de preparación de los atletas inscritos al programa. </t>
  </si>
  <si>
    <t>Aprovechamiento del Tiempo Libre a través de Iniciación y Formación Deportiva en la Comuna 4 de Santiago de Cali.</t>
  </si>
  <si>
    <t>BP26004770</t>
  </si>
  <si>
    <t>BP2600477010101</t>
  </si>
  <si>
    <t>Beneficiar 680 niños, niñas, adolescentes y jóvenes inscritos en Escuelas Deportivas</t>
  </si>
  <si>
    <t>Aprovechamiento del Tiempo Libre a través de Iniciación y Formación Deportiva en la Comuna 1 de Santiago de Cali.</t>
  </si>
  <si>
    <t>BP26004771</t>
  </si>
  <si>
    <t>BP2600477110101</t>
  </si>
  <si>
    <t>Beneficiar 1010 niños, niñas, adolescentes y jóvenes inscritos en Escuelas Deportivas</t>
  </si>
  <si>
    <t>Aprovechamiento del Tiempo Libre a través de Iniciación y Formación Deportiva en la Comuna 6 de Santiago de Cali.</t>
  </si>
  <si>
    <t>BP26004780</t>
  </si>
  <si>
    <t>BP2600478010101</t>
  </si>
  <si>
    <t>Beneficiar 510 niños, niñas, adolescentes y jóvenes inscritos en Escuelas Deportivas</t>
  </si>
  <si>
    <t>Aprovechamiento del Tiempo Libre a través de Iniciación y Formación Deportiva en la Comuna 16 de Santiago de Cali.</t>
  </si>
  <si>
    <t>BP26004781</t>
  </si>
  <si>
    <t>BP2600478110101</t>
  </si>
  <si>
    <t>Beneficiar 900 niños, niñas, adolescentes y jóvenes inscritos en Escuelas Deportivas</t>
  </si>
  <si>
    <t>Aprovechamiento del Tiempo Libre a través de Iniciación y Formación Deportiva en la Comuna 9 de Santiago de Cali.</t>
  </si>
  <si>
    <t>BP26004933</t>
  </si>
  <si>
    <t>BP2600493310101</t>
  </si>
  <si>
    <t>Beneficiar 640 niños, niñas, adolescentes y jóvenes inscritos en Escuelas Deportivas</t>
  </si>
  <si>
    <t>Aprovechamiento del Tiempo Libre a través de Iniciación y Formación Deportiva en el Corregimiento de Montebello de Santiago de Cali.</t>
  </si>
  <si>
    <t>BP26004972</t>
  </si>
  <si>
    <t>BP2600497210101</t>
  </si>
  <si>
    <t>Beneficiar 380 niños, niñas, adolescentes y jóvenes inscritos en Escuelas Deportivas</t>
  </si>
  <si>
    <t>Aprovechamiento del Tiempo Libre a través de Iniciación y Formación Deportiva en la Comuna 15 de Santiago de Cali.</t>
  </si>
  <si>
    <t>BP26004976</t>
  </si>
  <si>
    <t>BP2600497610101</t>
  </si>
  <si>
    <t>Beneficiar 1200 niños, niñas, adolescentes y jóvenes inscritos en Escuelas Deportivas</t>
  </si>
  <si>
    <t>Aprovechamiento del Tiempo Libre a través de Iniciación y Formación Deportiva en la Comuna 21 de Santiago de Cali.</t>
  </si>
  <si>
    <t>BP26004979</t>
  </si>
  <si>
    <t>BP2600497910101</t>
  </si>
  <si>
    <t>Beneficiar 560 niños, niñas, adolescentes y jóvenes inscritos en Escuelas Deportivas</t>
  </si>
  <si>
    <t>Aprovechamiento del Tiempo Libre a través de Iniciación y Formación Deportiva en la Comuna 22 de Santiago de Cali.</t>
  </si>
  <si>
    <t>BP26004992</t>
  </si>
  <si>
    <t>BP2600499210101</t>
  </si>
  <si>
    <t>Beneficiar 260 niños, niñas, adolescentes y jóvenes inscritos en Escuelas Deportivas</t>
  </si>
  <si>
    <t>Aprovechamiento del Tiempo Libre a través de Iniciación y Formación Deportiva en la Comuna 18 de Santiago de Cali.</t>
  </si>
  <si>
    <t>BP26004995</t>
  </si>
  <si>
    <t>BP2600499510101</t>
  </si>
  <si>
    <t>Aprovechamiento del Tiempo Libre a través de Iniciación y Formación Deportiva en el Corregimiento El Hormiguero de Santiago de Cali</t>
  </si>
  <si>
    <t>BP26004996</t>
  </si>
  <si>
    <t>BP2600499610101</t>
  </si>
  <si>
    <t>Beneficiar 370 niños, niñas, adolescentes y jóvenes inscritos en Escuelas Deportivas</t>
  </si>
  <si>
    <t>Aprovechamiento del Tiempo Libre a través de Iniciación y Formación Deportiva en la Comuna 3 de Santiago de Cali.</t>
  </si>
  <si>
    <t>BP26005000</t>
  </si>
  <si>
    <t>BP2600500010101</t>
  </si>
  <si>
    <t>Beneficiar 690 niños, niñas, adolescentes y jóvenes inscritos en Escuelas Deportivas</t>
  </si>
  <si>
    <t>Aprovechamiento del Tiempo Libre a través de Iniciación y Formación Deportiva en la Comuna 10 de Santiago de Cali.</t>
  </si>
  <si>
    <t>BP26005010</t>
  </si>
  <si>
    <t>BP2600501010101</t>
  </si>
  <si>
    <t>Beneficiar 540 niños, niñas, adolescentes y jóvenes inscritos en Escuelas Deportivas</t>
  </si>
  <si>
    <t>Aprovechamiento del Tiempo Libre a través de Iniciación y Formación Deportiva en la Comuna 17 de Santiago de Cali.</t>
  </si>
  <si>
    <t>BP26005012</t>
  </si>
  <si>
    <t>BP2600501210101</t>
  </si>
  <si>
    <t>Aprovechamiento del Tiempo Libre a través de Iniciación y Formación Deportiva en la Comuna 14 de Santiago de Cali.</t>
  </si>
  <si>
    <t>BP26005052</t>
  </si>
  <si>
    <t>BP2600505210101</t>
  </si>
  <si>
    <t>Beneficiar 5400 niños, niñas, adolescentes y jóvenes inscritos en Escuelas Deportivas</t>
  </si>
  <si>
    <t>Jornadas de Ciclovía realizadas</t>
  </si>
  <si>
    <t>Recreación en Jornadas de Ciclovía y de Actividad Física en Santiago de Cali</t>
  </si>
  <si>
    <t>BP26004704</t>
  </si>
  <si>
    <t>BP2600470410101</t>
  </si>
  <si>
    <t xml:space="preserve">Desarrollar 38 jornadas de ciclovia y de actividad física </t>
  </si>
  <si>
    <t xml:space="preserve">La Ciclovida comenzó actividades desde el domingo 10 de marzo de 2024 en los espacios y circuitos en los que venía funcionando en años anteriores. Al corte 31 de marzo de 2024 se ejecutaron 4 jornadas de ciclovía.  </t>
  </si>
  <si>
    <t>BP2600470410201</t>
  </si>
  <si>
    <t>Beneficiar a 10000 personas que acceden a servicios deportivos, recreativos y de actividad física</t>
  </si>
  <si>
    <t xml:space="preserve">La presente vigencia inició con la capacitación a equipos de trabajo, revisando las guías metodológicas de los programas, posteriormente se priorizaron loa territorios para ubicar los puntos de atención, se socializaron los programas con la comunidad y se inició la atención con los equipos. Al corte 31 de marzo se incorporó 2324 personas a programa de fomento de actividad física. </t>
  </si>
  <si>
    <t>BP2600470410301</t>
  </si>
  <si>
    <t>Organizar 10 servicios de apoyo a la actividad física, la recreación y el deporte</t>
  </si>
  <si>
    <t>Se inició labores del equipo estructurador para organizar los procesos pre-contractuales correspondientes.</t>
  </si>
  <si>
    <t>Adultos mayores beneficiados con estrategias en pro del envejecimiento funcional saludable y activo</t>
  </si>
  <si>
    <t>Recreación con Estrategias en Pro del Envejecimiento Funcional Saludable y Activo con Adultos Mayores de la Comuna 3 de Santiago de Cali</t>
  </si>
  <si>
    <t>BP26004997</t>
  </si>
  <si>
    <t>BP2600499710101</t>
  </si>
  <si>
    <t xml:space="preserve">Promover hábitos saludables en 300 adultos mayores. </t>
  </si>
  <si>
    <t xml:space="preserve">En el periodo se organizó los grupos de contratación para la ejecución de los proyectos, se solicitó la aprobación del Plan Anual de Caja – PAC y Plan Anual de Adquisiciones – PAA. </t>
  </si>
  <si>
    <t>Equidad Social</t>
  </si>
  <si>
    <t>Personas beneficiadas con programa recreativo dirigido a personas en riesgo social con enfoque diferencial, étnico y de género</t>
  </si>
  <si>
    <t>Recreación a Población en Situación de Riesgo Social de Santiago de Cali</t>
  </si>
  <si>
    <t>BP26004708</t>
  </si>
  <si>
    <t>BP2600470810101</t>
  </si>
  <si>
    <t>Beneficiar 800 personas en riesgo social con programas de deporte, actividad física y recreación.</t>
  </si>
  <si>
    <t>En el periodo enero - marzo de 2024 se estructuró el equipo humano para la intervención. Se avanzó en el diseño de las metodologías para la intervención. Se socializó, con las poblaciones destinatarias (mesas comunitarias, consejos territoriales y colectivos), la oferta y se recogieron intereses y necesidades de estas.</t>
  </si>
  <si>
    <t>BP2600470810201</t>
  </si>
  <si>
    <t>Realizar un (1) evento deportivo y recreativo para población víctima del conflicto armado.</t>
  </si>
  <si>
    <t>En el periodo enero - marzo de 2024 se estructuró equipo humano para la intervención. Se realizó planeación y proyección de acciones y oferta, con líderes de población víctima del conflicto armado. Se ejecutaron visitas a asociaciones de víctimas y se fijaron compromisos de deporte, recreación y actividad física en sus espacios y territorios.</t>
  </si>
  <si>
    <t>Intervenciones en escenarios deportivos y recreativos en comunas y corregimientos diseñados, con mantenimiento, construidos o adecuados</t>
  </si>
  <si>
    <t>Mantenimiento del Estadio Olímpico Pascual Guerrero Santiago de Cali</t>
  </si>
  <si>
    <t>BP26002431</t>
  </si>
  <si>
    <t>BP2600243110101</t>
  </si>
  <si>
    <t>Escenarios deportivos en comunas y corregimientos mantenidos, adecuados, rehabilitados y mejorados.</t>
  </si>
  <si>
    <t>Mantener 1 infraestructura fisica del estadio Pascual Guerrero de Santiago de Cali.</t>
  </si>
  <si>
    <t>Infraestructuras deportivas mantenida.</t>
  </si>
  <si>
    <t>Al mes de marzo de 2024 el fondo asignado a algunas actividad presentó un recaudo de: $204.983.370, con estos recursos se priorizaron otras obras del Estadio Olímpico Pascual Guerrero que debido a sus necesidades se consideraron como más inmediatas.</t>
  </si>
  <si>
    <t>Secretaría del Deporte y la Recreación - 
Subsecretaría de Infraestructura Deportiva</t>
  </si>
  <si>
    <t>BP2600243110201</t>
  </si>
  <si>
    <t>Realizar 1 mantenimiento a los elementos  complementarios del Estadio Pascual Guerrero de Santiago de Cali.</t>
  </si>
  <si>
    <t>Canchas multifuncionales mantenidas.</t>
  </si>
  <si>
    <t xml:space="preserve">Se programó el mantenimiento de gramas, para lo cual, se encuentra en estructuración de los documentos pre-contractuales. En el mes de marzo (de 2024) se obtuvo recaudo necesario del fondo asignado a esta actividad y de este modo realizar los trámites de disponibilidad financiera necesaria para la ejecución del proyecto. </t>
  </si>
  <si>
    <t>Mejoramiento de los equipamientos deportivos y recreativos de Santiago de Cali.</t>
  </si>
  <si>
    <t>BP26002547</t>
  </si>
  <si>
    <t>BP2600254710101</t>
  </si>
  <si>
    <t>Realizar mantenimiento a 3 parques recreativos.</t>
  </si>
  <si>
    <t>Parques recreativos mantenidos.</t>
  </si>
  <si>
    <t>De enero a marzo del 2024 se organizó los equipos estructuradores, de diseño, presupuesto, arquitectos y todo el apoyo técnico para iniciar el desarrollo y la ejecución de las obras en la ciudad. Por otra parte, es necesario resaltar que uno de los fondos financieros, del presente producto, no se cuenta con recursos para empezar ejecución</t>
  </si>
  <si>
    <t>BP2600254710201</t>
  </si>
  <si>
    <t>Realizar mejoramiento a 1 parque recreativo.</t>
  </si>
  <si>
    <t>Parques recreativos mejorados.</t>
  </si>
  <si>
    <t>Las actividades de este producto por la naturaleza de fondo financiero no cuentan con recursos para iniciar su ejecución.</t>
  </si>
  <si>
    <t>Adecuación de Equipamientos Deportivos y Recreativos de Santiago de Cali.</t>
  </si>
  <si>
    <t>BP26002548</t>
  </si>
  <si>
    <t>BP2600254810101</t>
  </si>
  <si>
    <t>Mejorar las condiciones de 4 escenarios deportivos y recreativos</t>
  </si>
  <si>
    <t>Placa deportiva adecuada</t>
  </si>
  <si>
    <t>De enero a marzo del 2024 se organizó los equipos estructuradores, de diseño, presupuesto, arquitectos y todo el apoyo técnico para iniciar el desarrollo y la ejecución de las obras en la ciudad. Por otra parte, es necesario resaltar que el recaudo de uno de los fondos financieros, del presente producto, debió priorizarse y orientarse a atender necesidades urgentes de otros escenarios deportivos y recreativos.</t>
  </si>
  <si>
    <t>BP2600254810201</t>
  </si>
  <si>
    <t>Mejorar la infraestructura física de 1 escenarios deportivos</t>
  </si>
  <si>
    <t xml:space="preserve">Placa deportiva mejorada </t>
  </si>
  <si>
    <t xml:space="preserve">Se identificó la necesidad de efectuar modificación presupuestal, por tanto, se actualizó presupuesto de acuerdo al requerimiento para el adecuado mejoramiento de infraestructura. </t>
  </si>
  <si>
    <t>Mantenimiento de los Equipamientos Deportivos y Recreativos de Santiago de Cali</t>
  </si>
  <si>
    <t>BP26002549</t>
  </si>
  <si>
    <t>BP2600254910101</t>
  </si>
  <si>
    <t>Preservar 300 escenarios deportivos y recreativos  de Santiago de Cali.</t>
  </si>
  <si>
    <t>En los meses de febrero y marzo de 2024 se revisa la cadena de valor y se actualizó presupuestos para realizar modificación presupuestal según necesidades (urgentes) y ejecutar las actividades. Por su parte, la actividad de pagos de servicios públicos no se ejecuta por el organismo (lo deberá hacer el Departamento de Bienes y Servicios. La actividad relacionada con la adquisición de insumos (químicos) no cuenta con el recaudo suficiente del fondo 1.2.4.3.03.01 SGP-Propósito General-Libre inversión 11/12 para su ejecución.</t>
  </si>
  <si>
    <t>BP2600254910201</t>
  </si>
  <si>
    <t>Preservar 15 escenarios de  de Santiago de Cali.</t>
  </si>
  <si>
    <t xml:space="preserve">El fondo financiero del proyecto aún no cuenta con el recaudo suficiente, solo se cuenta con recurso para el mantenimiento de gramas. </t>
  </si>
  <si>
    <t>Adecuación de Espacios Públicos Deportivos y Recreativos de la Comuna 2 del Distrito Especial de Santiago de Cali.</t>
  </si>
  <si>
    <t>BP-26004940</t>
  </si>
  <si>
    <t>BP2600494010101</t>
  </si>
  <si>
    <t>Adecuar 3 escenarios deportivos.</t>
  </si>
  <si>
    <t>Parques  adecuados</t>
  </si>
  <si>
    <t xml:space="preserve">Se realizó visita de verificación, y se programó actualización de levantamiento topográfico, se solicitaron estudios de suelos de los diferentes proyectos, y se procedió a solicitar ajustes a: los diseños arquitectónicos, hidráulicos y eléctricos.  </t>
  </si>
  <si>
    <t>Adecuación de Espacios Públicos Deportivos y Recreativos de la Comuna 5 del Distrito Especial de Santiago de Cali.</t>
  </si>
  <si>
    <t>BP26004944</t>
  </si>
  <si>
    <t>BP2600494410101</t>
  </si>
  <si>
    <t>Adecuar 2 escenarios deportivos.</t>
  </si>
  <si>
    <t>Adecuación de Espacios Públicos Deportivos y Recreativos de la Comuna 7 del Distrito Especial de Santiago de Cali.</t>
  </si>
  <si>
    <t>BP26004960</t>
  </si>
  <si>
    <t>BP2600496010101</t>
  </si>
  <si>
    <t>Adecuación de Espacios Públicos Deportivos y Recreativos de la Comuna 8 del Distrito Especial de Santiago de Cali.</t>
  </si>
  <si>
    <t>BP26004961</t>
  </si>
  <si>
    <t>BP2600496110101</t>
  </si>
  <si>
    <t>Adecuación de Espacios Públicos Deportivos y Recreativos de la Comuna 10 del Distrito Especial de Santiago de Cali.</t>
  </si>
  <si>
    <t>BP26004962</t>
  </si>
  <si>
    <t>BP2600496210101</t>
  </si>
  <si>
    <t>Adecuar 4 escenarios deportivos (polideportivos).</t>
  </si>
  <si>
    <t>Polideportivos adecuados</t>
  </si>
  <si>
    <t>Adecuación de Espacios Públicos Deportivos y Recreativos de la Comuna 11 del Distrito Especial de Santiago de Cali.</t>
  </si>
  <si>
    <t>BP26004963</t>
  </si>
  <si>
    <t>BP2600496310101</t>
  </si>
  <si>
    <t>Parque adecuado</t>
  </si>
  <si>
    <t>Adecuación de Polideportivos de la Comuna 11 del Distrito Especial de Santiago de Cali.</t>
  </si>
  <si>
    <t>BP26004964</t>
  </si>
  <si>
    <t>BP2600496410101</t>
  </si>
  <si>
    <t>Adecuar 3 escenarios deportivos (polideportivos).</t>
  </si>
  <si>
    <t>Adecuación de Espacios Públicos Deportivos y Recreativos de la Comuna 13 del Distrito Especial de Santiago de Cali.</t>
  </si>
  <si>
    <t>BP26004966</t>
  </si>
  <si>
    <t>BP2600496610101</t>
  </si>
  <si>
    <t>Parques adecuados</t>
  </si>
  <si>
    <t>Adecuación de Espacios Públicos Deportivos y Recreativos de la Comuna 18 del Distrito Especial de Santiago de Cali.</t>
  </si>
  <si>
    <t>BP26004967</t>
  </si>
  <si>
    <t>BP2600496710101</t>
  </si>
  <si>
    <t>Adecuación de Espacios Públicos Deportivos y Recreativos del Corregimiento Montebello del Distrito Especial de Santiago de Cali.</t>
  </si>
  <si>
    <t>BP26004969</t>
  </si>
  <si>
    <t>BP2600496910101</t>
  </si>
  <si>
    <t>Adecuar 1 escenarios deportivos (cancha).</t>
  </si>
  <si>
    <t>Canchas multifuncionales adecuadas</t>
  </si>
  <si>
    <t>Adecuación de Espacios Públicos Deportivos y Recreativos de la Comuna 21 del Distrito Especial de Santiago de Cali.</t>
  </si>
  <si>
    <t>BP26004977</t>
  </si>
  <si>
    <t>BP2600497710101</t>
  </si>
  <si>
    <t>Deporte para el Desarrollo Social del Distrito Especial</t>
  </si>
  <si>
    <t>Eventos académicos para el sector deporte, recreativo y de actividad física, realizados</t>
  </si>
  <si>
    <t>Aprovechamiento y Cualificación con Eventos Académicos para el Sector Deporte, Recreativo y de Actividad Física de Santiago de Cali.</t>
  </si>
  <si>
    <t>BP26004730</t>
  </si>
  <si>
    <t>BP2600473010101</t>
  </si>
  <si>
    <t>Realizar un (1) evento académico para el sector deporte, recreativo y de actividad física.</t>
  </si>
  <si>
    <t>Se solicitó la aprobación del Plan Anual de Caja – PAC y Plan Anual de Adquisiciones – PAA. Por otra parte, se actualizó los presupuestos de acuerdo al cambio de anualidad y se inició estructuración de los documentos pre-contractuales.</t>
  </si>
  <si>
    <t>Servicio del deporte, recreación y actividad física ejecutado bajo las políticas institucionales vigentes</t>
  </si>
  <si>
    <t>Fortalecimiento del Sistema de Gestión de Calidad de la Secretaria del Deporte y la Recreación de Santiago de Cali.</t>
  </si>
  <si>
    <t>BP26002545</t>
  </si>
  <si>
    <t>BP2600254510101</t>
  </si>
  <si>
    <t>Servicio del deporte, la  recreación y la actividad física bajo las políticas institucionales mejorado</t>
  </si>
  <si>
    <t>Planificar, implementar o evaluar 6 procesos del organismo.</t>
  </si>
  <si>
    <t>Sistema de Gestión implementado.</t>
  </si>
  <si>
    <t>Durante el primer trimestre de la vigencia se priorizó la conformación y organización del trabajo de las distintas subáreas de la unidad Apoyo a la Gestión – UAG; se ratificó el compromiso de la alta Dirección con la continuidad e implementación efectiva del sistema de gestión de calidad. Dentro de las acciones que contribuyen al avance e implementación de los sistemas de gestión podemos destacar: cierre de dos (2) Planes de Mejoramiento adscritos al SGC y sensibilización a todos los programas de la Subsecretaria de fomento respecto a procesos de planeación en la Secretaría.</t>
  </si>
  <si>
    <t>Secretaría del Deporte y la Recreación - 
Unidad de Apoyo a la Gestión</t>
  </si>
  <si>
    <t>BP2600254510201</t>
  </si>
  <si>
    <t>Planificar e implementar 3 procesos del organismo.</t>
  </si>
  <si>
    <t>En el primer trimestre se desarrollaron actividades de aprestamiento que fundamentan su alcance en el próximo trimestre. Se avanzó en generación de la actualización de la matriz de partes interesadas y se desarrollaron diversas gestiones institucionales para mejorar la oferta de servicios a nivel local e internacional.</t>
  </si>
  <si>
    <t>BP2600254510301</t>
  </si>
  <si>
    <t xml:space="preserve">Implementar 5 procesos del organismo. </t>
  </si>
  <si>
    <t>Sistemas de información implementados.</t>
  </si>
  <si>
    <t>Durante el avance del periodo se han entregado dos (2) informes de PQRS al área de atención al ciudadano, además de la realización de tres (3) informes relacionados con encuestas de percepción y atención al usuario. Asimismo, se ha avanzado en la realización de 519 contratos PS, incluyendo seis procesos competitivos, y se ha atendido diez (10) derechos de petición. Además, se ha llevado a cabo la revisión y análisis de dos (2) acuerdos, con seguimiento al cumplimiento de una sentencia de acción popular, y se ha brindado atención a 18 tutelas. Paralelamente, se ha progresado en la organización de la documentación, archivando 200 carpetas. Por último, se ha gestionado diligentemente alrededor de 1200 solicitudes internas y externas.</t>
  </si>
  <si>
    <t>Investigaciones del sector deporte realizadas en la visión Cali 2036</t>
  </si>
  <si>
    <t>Desarrollo de Investigaciones al Servicio del Deporte, la Recreación y la Actividad Física en Santiago de Cali.</t>
  </si>
  <si>
    <t>BP26002562</t>
  </si>
  <si>
    <t>BP2600256210101</t>
  </si>
  <si>
    <t>Desarrollar 1 investigación sobre deporte, recreación y actividad física en Santiago de Cali</t>
  </si>
  <si>
    <t xml:space="preserve">En el primer trimestre de la vigencia 2024 principalmente se realizaron dos (2) actividades orientadas al desarrollo de la investigación:
 - Se actualizó la información diagnostica sectorial y se socializó a los nuevos equipos de la Secretaría.
 - Se realizó 616 consultas a grupos de valor y un encuentro ciudadano, insumos para la formulación de planes de desarrollo locales (comunas y corregimientos) y el Plan de Desarrollo 2024-2027.
</t>
  </si>
  <si>
    <t xml:space="preserve">Verificaciones de Riesgos por Fenómenos de Origen Tecnológico, Socio-natural, Natural y Antrópico, realizadas </t>
  </si>
  <si>
    <t>Identificación de factores de riesgo por fenómenos de origen tecnológico, natural, socionatural y antropico en santiago de cali</t>
  </si>
  <si>
    <t>BP26002817</t>
  </si>
  <si>
    <t>Secretaría de Gestión del Riesgo de Emergencias y Desastres</t>
  </si>
  <si>
    <t>BP2600281710101</t>
  </si>
  <si>
    <t>Documentos informes de verificación de riesgo por fenómenos de origen tecnológico, natural, socionatural y antrópico</t>
  </si>
  <si>
    <t>Elaborar  1500 Documentos de investigación   (1500 documentos de verificación de riesgo por fenómenos)</t>
  </si>
  <si>
    <t>Con corte a marzo se  realizaron  322  visitas    que corresponden  a verificación de factores de riesgo por fenómenos de origen tecnológico 9  visitas,( obteniendo la georeferenciación de las estaciones  de gasolina y la capacidad de almacenamiento de combustibles.)   , riesgo natural, y socionatural  102 visitas  (eventos de movimientos en masa , lesiones en estructuras, eventos atmosfericos ,Incendios de cobertura vegetal  cerros de cali, Altos de menga  y  antropico  15  visitas (PMU Carnaval de Blancos y negros cali, Liga Bet play , Feria del Pacific Fest entre otros) con sus respectivos documentos e informes  de investigación  ,con una ejecución del  20%  del producto .</t>
  </si>
  <si>
    <t>Sistema integral de información de la gestión del riesgo, diseñado e implementado bajo Arquitectura empresarial</t>
  </si>
  <si>
    <t xml:space="preserve">Desarrollo e implementación del Sistema Integral de Información de Gestión del riesgo de Santiago de Cali          
          </t>
  </si>
  <si>
    <t>BP26002846</t>
  </si>
  <si>
    <t>BP2600284610101</t>
  </si>
  <si>
    <t>Sistema integral de
información de la
gestión del riesgo,
diseñado e
implementado bajo
arquitectura
empresarial</t>
  </si>
  <si>
    <t>Elaborar 1 Documento de lineamineto tecnicos  ( 1 modelo de operación  del Sistema de
Información de Gestión del
Riesgo de Santiago de Cali  diseñado)</t>
  </si>
  <si>
    <t>Documentos de lineamiento tecnicos  elaborados</t>
  </si>
  <si>
    <t xml:space="preserve">Con corte a marzo,  no se presenta ejecución fisicca del producto del proyecto debido que se esta  estableciendo plan de trabajo y diagnostico del documento que contiene el Diseño del Sistema de información  realizado en las vigencias anteriores. </t>
  </si>
  <si>
    <t>BP2600284610201</t>
  </si>
  <si>
    <t>Implementar 1 Sistema de Información de Gestión del Riesgo de Santiago de Cali (11 % restante para llevar a cabo  la implementación del Sistema de Información de Gestión del Riesgo)</t>
  </si>
  <si>
    <t>Sistema de
Información de Gestión del
Riesgo  implementados</t>
  </si>
  <si>
    <t>con corte  a marzo  se realizo diagnostico y analisis tecnicio   de  La versión 1.0 del Backend y Frontend del portal web que  está preparada para su despliegue en el servidor y que se desarrollaron en las herramientas Nextjs, React, incluyendo Strapi en el lado del backend.  para un avance del producto del 6%.</t>
  </si>
  <si>
    <t>Plan de Gestión del Riesgo de Desastres de Santiago de Cali, Ajustado</t>
  </si>
  <si>
    <t>Fortalecimiento del Plan de Gestión del Riesgo de Desastres y Adaptación al Cambio
Climático para Santiago de Cali</t>
  </si>
  <si>
    <t>BP26004782</t>
  </si>
  <si>
    <t>BP2600478210101</t>
  </si>
  <si>
    <t xml:space="preserve">Plan de Gestión del
Riesgo de Desastres
de Santiago de Cali,
Actualizado
</t>
  </si>
  <si>
    <t>Elaborar 1 Documento de Planeacion ( 1 documento de actualización Plan de Gestión del Riesgo de Desastres )</t>
  </si>
  <si>
    <t>Con corte a marzo se definió la estructura del documento de seguimiento al PGRD (Plan de Gestión del Riesgo de Desastres del año 2023); asi mismo, se trabajó en el contenido del documento: introducción y contexto general del PGRD.Se inició con la realización de las fichas, cronograma y presupuesto de las acciones del componente programático del PGRD adoptado en 2023.  para un avance del producto del  18,7%.</t>
  </si>
  <si>
    <t>BP2600478210201</t>
  </si>
  <si>
    <t>Asistir 1 Instancia territorial</t>
  </si>
  <si>
    <t>Instancias territoriales asistidas</t>
  </si>
  <si>
    <t>Con corte a marzo  se realizaron  las actividades de acuerdo al plan de trabajo establecido por el area de gestión documental (seguimientio PQRSD), gestión de calidad (implementación politicas de MIPG, apoyos auditorias, seguimiento indicadores) , Contratación publica (Procesos de contratación , Seguimiento PAA,Respuesta Derechos de Petición) y Planeación(Formulación Plan de Desarrollo 2024-2027 ,Modificación , y   reporte Seguimiento a proyectos, )   asistendiendo la instancia territorial    .con una ejecución del producto del 22,5%</t>
  </si>
  <si>
    <t>Centro Integral para la Gestión del Riesgo de Emergencias y Desastres, construido</t>
  </si>
  <si>
    <t>Desarrollo del Centro Integral para la Gestión del Riesgo de Desastres en Santiago de
Cali</t>
  </si>
  <si>
    <t>BP26002839</t>
  </si>
  <si>
    <t>BP2600283910101</t>
  </si>
  <si>
    <t xml:space="preserve">Centro Integral para
la Gestión del Riesgo
de Emergencias y
Desastres, Construido
</t>
  </si>
  <si>
    <t>Construir 1 Centro logísticos para la gestión del
riesgo de desastres  ( 39% restante del Centro intregal para la Gestión del riesgo de desastre construido)</t>
  </si>
  <si>
    <t>Centros logísticos
para la gestión del
riesgo de
desastres
construidos</t>
  </si>
  <si>
    <t xml:space="preserve">Con corte al 31 de marzo se apoyo el proceso de supervisión de la obra  desde todos los aspectos relacionados al proyecto; realizando un acompañamiento constante a los procesos, visitas y solictudes por parte de los organismos de control (Contraloria ,Personeria) , se proceso la información relacionada al proyecto para realizar un informe de diagnóstico inicial del proyecto, así mismo se desarrolló el apoyo constante a los procesos de supervisión para la toma oportuna de decisiones. Se gestionarón los espacios y mesas técnicas pertinentes para llegar a concensos que permitan avanzar en la ejecución y seguimiento del contrato actual , para un avance del producto del 2%
</t>
  </si>
  <si>
    <t xml:space="preserve"> Reducción del Riesgo</t>
  </si>
  <si>
    <t xml:space="preserve">Personas fortalecidas en el conocimiento de las buenas prácticas para la gestión del riesgo </t>
  </si>
  <si>
    <t>Desarrollo de una estrategia para la promoción comunitaria de la cultura en gestión del
riesgo de desastres en Santiago de Cali</t>
  </si>
  <si>
    <t>BP26004783</t>
  </si>
  <si>
    <t>BP2600478310101</t>
  </si>
  <si>
    <t>Personas fortalecidas en el conocimiento de las buenas prácticas para la gestión del
riesgo</t>
  </si>
  <si>
    <t xml:space="preserve">Capacitar 300 Personas 
(300 personas capacitadas  en el conocimiento de las buenas practicas para la Gestión del Riesgo </t>
  </si>
  <si>
    <t>Con corte a marzo  se realizó articulación de plan de trabajo y cronograma conjuntamente con el proyecto Sistemas de Alertas Tempranas Inteligentes Comunitarias SATIC, con el propósito de sumar esfuerzos en la convocatoria y jornadas pedagógicas a realizar en territorio, Se adelantaron acercamientos para realizar diálogos con la comunidad Prevencionistas y observadores del riesgo de la Comuna 1 y corregimiento Los Andes, sectores Alto Aguacatal, Puente Azul Alto Aguacatal, La Fortuna y Pilas del Cabuyal  para un avance  del  producto del  7,5%.</t>
  </si>
  <si>
    <t>Actualización de los planes escolares para la gestión del riesgo de las sedes educativas oficiales de santiago de cali</t>
  </si>
  <si>
    <t>BP26002844</t>
  </si>
  <si>
    <t>BP2600284410101</t>
  </si>
  <si>
    <t>Elaborar 170 Documentos de Planeacion ( 170 documentos de actualización de planes escolares de Gestión del Riesgo)</t>
  </si>
  <si>
    <t>Con corte a marzo se realizaron mesas de trabajo para establecer el cronograma y el plan de trabajo  de las visitas a  las sede educativas , tambien se  actualizo  la Base de Datos de las Instituciones. Con un avance de producto del 12,5%</t>
  </si>
  <si>
    <t>BP2600284410201</t>
  </si>
  <si>
    <t xml:space="preserve">Capacitar 2000 personas
(2000 personas   capacitadas  en el conocimiento de las buenas practicas para la Gestión del Riesgo en la Sedes Educativas  </t>
  </si>
  <si>
    <t>Con corte a marzo se  elaboraron contenidos  de los talleres de formacion - ayudas visuales  en temas de Primeros Auxilios, Prevencion de Incendios y Evacuacion  esto como insumo para material pedagogico que se va se dictar  en los talleres de formación en cada una de la instituciones educativas   para un cumplimiento   del producto  del   6%.</t>
  </si>
  <si>
    <t xml:space="preserve">Hogares localizados en zonas de riesgo no mitigable por inundaciones reasentados en zonas urbanas y rurales con procesos de concertación y garantía de derechos </t>
  </si>
  <si>
    <t>Prevención de riesgos físicos y sociales para los habitantes de las zonas aledañas al Jarillón del río cauca y lagunas charco azul y el Pondaje Cali</t>
  </si>
  <si>
    <t>BP26002741</t>
  </si>
  <si>
    <t>BP2600274110101</t>
  </si>
  <si>
    <t>Hogares localizados en zonas de riesgo no
mitigable por inundaciones reasentados</t>
  </si>
  <si>
    <t>Atender 400  hogares del Jarillón del Rio Cauca y lagunas Charco Azul y Pondaje</t>
  </si>
  <si>
    <t xml:space="preserve">Número de hogares del Jarillón del Rio Cauca y lagunas Charco Azul y Pondaje reasentados </t>
  </si>
  <si>
    <t>Con corte a  marzo, no se han reasentado hogares; se solicitó la prórroga de asignación de subsidios de relocalización temporal a 134 hogares de varios AHDI. Se realizó la fase previa a la entrega a titulo de subsidios de 10 hogares y se atendieron 38 hogares que requirieron información sobre su proceso de reasentamiento. Hay un retraso en el reporte por parte de las Cajas de Compensación frente a la información de histiorial de los cruces por subsidios para las  compensaciones a título de subsidios y los subsidios de relocalización.</t>
  </si>
  <si>
    <t>BP2600274110201</t>
  </si>
  <si>
    <t>Implementar una estrategia de monitoreo y control de riesgos asociados al Jarillón del Rio Cauca y las lagunas de Charco Azul y El Pondaje</t>
  </si>
  <si>
    <t xml:space="preserve">Sistemas de Alerta Temprana implementados </t>
  </si>
  <si>
    <t>Con corte a marzo, con respecto al avance del sistema de alertas tempranas asociado al seguimiento del PJC, se avanzó en la programación y realización de 18 operativos/monitoreos diarios para promover un seguimiento en el Jarillón con cuadrillas para el proceso de demolición de techos, verificación del estado actual del territorio (sistema de protección contra inundaciones) y consolidación de información de los demás actores frente al actual del proyecto.</t>
  </si>
  <si>
    <t xml:space="preserve">Manejo del Desastre </t>
  </si>
  <si>
    <t xml:space="preserve">Equipos de Primera Respuesta del Consejo Municipal de Gestión del Riesgo, articulados y fortalecidos </t>
  </si>
  <si>
    <t>Mejoramiento de la prestación del servicio publico esencial de gestión integral del riesgo contra incendios,  atención de rescates en todas sus modalidades y calamidades conexas  en el Distrito de Santiago de  Cali</t>
  </si>
  <si>
    <t>BP26003615</t>
  </si>
  <si>
    <t>BP2600361510101</t>
  </si>
  <si>
    <t>Adecuar 11 Estaciones de bomberos</t>
  </si>
  <si>
    <t>Estaciones bomberiles con mantenimiento en planta física recuperados</t>
  </si>
  <si>
    <t xml:space="preserve">Con corte a marzo no se han iniciado adecuaciones en las estaciones bomberiles, no obstante se realizó   Concertación de Mesas de Trabajo con personal del Benemérito Cuerpo de Bomberos de Cali, con el propósito de instalar el Comité Operativo , Definición de los miembros de los comités estructuradores con miras a la construcción del Plan Operativo ,  Fijación de mecanismos y compromisos de trabajo para llevar a cabo la correcta ejecución del convenio  con   un cumplimiento del  producto  del  10%.
</t>
  </si>
  <si>
    <t>BP2600361510201</t>
  </si>
  <si>
    <t>Equipos de Primera Respuesta del Consejo
Municipal de Gestión del Riesgo, articulados
y fortalecidos</t>
  </si>
  <si>
    <t>Prestar 1  servicio de atención a emergencias y desastres</t>
  </si>
  <si>
    <t>Emergencias y desastres atendidas</t>
  </si>
  <si>
    <t>Con corte  a marzo se ha atendido  un total de  de 2057 atenciones de incidentes por parte del Benemerito cuerpo  de Bomberos de Cali , los mas representativos a la fecha son  835 Emergencias médicas    232 Controles de Abejas , 75 Servicios con Maquina , 68 Incendio eléctrico en vía pública, 66 Incendio de basuras y otros en vía pública,  58 Incendio de arbustos y pasto, zona urban,  55 Fuga de gas natural, GNC   48 Incendio Estructural, para un avance   del  producto del 10%.</t>
  </si>
  <si>
    <t>Asistencia al sistema nacional de gestión del riesgo de desastres de santiago de cali</t>
  </si>
  <si>
    <t>BP26002842</t>
  </si>
  <si>
    <t>BP2600284210101</t>
  </si>
  <si>
    <t>Fortalecer 2 Organismo de atención de emergencias</t>
  </si>
  <si>
    <t>Organismos de atención de emergencias fortalecidos</t>
  </si>
  <si>
    <t xml:space="preserve">Con corte a marzo  no se presenta ejecución  fisica debido a que se esta en proceso de estructuración  el  contrato interadminitrativo con el organismo Defensa Civil , con respecto al organismo de la  Cruz Roja el convenio de asosiación fue firmado el dia 27 de marzo y se esta en proceso de establecer el plan de trabajo. </t>
  </si>
  <si>
    <t xml:space="preserve">Estrategia de Respuesta a Emergencias, actualizada </t>
  </si>
  <si>
    <t xml:space="preserve">Consolidación de los Mecanismos de Respuesta y Manejo de Desastres en Santiago de
Cali </t>
  </si>
  <si>
    <t>BP26004314</t>
  </si>
  <si>
    <t xml:space="preserve">Mejoramiento de los mecanismos de respuesta y manejo de desastres en santiago de cali </t>
  </si>
  <si>
    <t>BP2600431410101</t>
  </si>
  <si>
    <t>Estrategia de Respuesta a Emergencias y
Desastres implementada</t>
  </si>
  <si>
    <t>Elaborar 1 Documento de Planeacion  (1 documento de planes de contigencias implementados)</t>
  </si>
  <si>
    <t xml:space="preserve">Con corte a marzo  Se desarrollaron reuniones de equipo y elaboración de metodología en aras de avanzar con el proceso de actualización e implementación de la Estrategia de Respuesta a Emergencias ,   se realizó plan de contigencia para la respuesta a la temporada de semana santa y participación en el trabajo de elaboración del plan de contigencia de la temporada de lluvias, A traves de la central de monitoreo se realizo seguimiento 24/7 de la materialización de los riesgos por desastre reportadas por los organismos de socorro y comunidad.
con una ejecución del producto del  11,5%. </t>
  </si>
  <si>
    <t xml:space="preserve">Sistema de Alertas Tempranas Integrado bajo arquitectura empresarial </t>
  </si>
  <si>
    <t xml:space="preserve">Fortalecimiento del Sistema de Alertas Tempranas, Inteligentes y Comunitarias de
Santiago de Calii </t>
  </si>
  <si>
    <t>BP26004795</t>
  </si>
  <si>
    <t>BP2600479510101</t>
  </si>
  <si>
    <t>capacitar 1900 personas 
(1900 personas  capacitadas en la ubicación e implementación del Sistema de Alertas Tempranas )</t>
  </si>
  <si>
    <t xml:space="preserve">Personas Capacitadas </t>
  </si>
  <si>
    <t>Con corte  marzo  se formaron 114 personas en los diferentes sitios priorizados ( patio Bonito, Montañueas, Saladitos,Montañitas entre otros)  en un proceso de refuerzo de saberes en torno al SATIC, se abordaron los temas  de fenómeno del niño y temporada seca. -Se convocaron tres espacios de trabajo con 14 territorios de SATIC, los cuales se consolidaron en tres grupos unificados de forma geográfica. se tiene una ejecución de producto del 14%</t>
  </si>
  <si>
    <t>BP2600479510201</t>
  </si>
  <si>
    <t xml:space="preserve">Sistema de alertas tempranas integrado bajo arquitectura empresarial </t>
  </si>
  <si>
    <t>Implementar 1 Sistema de Alerta Temprana  ( este producto aporta un 17 % restante en la implementación del sistema de alertas tempranas)</t>
  </si>
  <si>
    <t>Sistemas de Alerta Temprana implementados</t>
  </si>
  <si>
    <t>Con corte marzo, Se tienen 19 alarmas articuladas al geoportal SATIC  y 10 mas que estan en proceso de articulación Se tiene servicio de mensajeria para emitir alertas a la comunidad  se reportaron 1184 visitas al geoportal, Se hicieron reportes diarios sobre el estado del clima tomando datos de las diferentes plataformas como CVC e IDEAM,  a traves de la central de monitoreose hizo seguimiento a 540 casos relacionados con temas de incendios forestales, estructurales, quema de residuos, fugas de gas, quemas controladas, se tiene una ejecución del producto del 20%.</t>
  </si>
  <si>
    <t>BP2600479510301</t>
  </si>
  <si>
    <t>Actualizar 1 Sistema de información</t>
  </si>
  <si>
    <t>Con corte a marzo ,con respecto a la actualización  del sistema de información ,  se realizo  mantenimiento a los 2 servidores de SATIC el Windows y Linux en cuanto a estructuración. 60 G de Backup a SATIC dentro del marco de seguridad de la información. Reconocimiento de 30 G de información en cuanto a Data de SATIC con una ejecución del producto del  10%</t>
  </si>
  <si>
    <t>Política pública de Derechos Humanos formulada, aprobada y  adoptada</t>
  </si>
  <si>
    <t>Consolidación de una Política pública de Derechos Humanos en Santiago de Cali</t>
  </si>
  <si>
    <t>BP26002628</t>
  </si>
  <si>
    <t>BP2600262810101</t>
  </si>
  <si>
    <t xml:space="preserve">Elaborar  una  implementación de la estrategia de cultura en derechos humanos </t>
  </si>
  <si>
    <t>Instrumentos para la implementación de la estrategia de cultura en derechos humanos elaborados</t>
  </si>
  <si>
    <t xml:space="preserve">Se avanzó con la elaboración del documento de roles y tareas, se definió y ajustó el instrumento de seguimiento a la implementación de la Política Pública de DDHH  </t>
  </si>
  <si>
    <t>BP2600262810102</t>
  </si>
  <si>
    <t>Socializar a 250 personas en temas de derechos humanos</t>
  </si>
  <si>
    <t>Revisión el documento metodológico del año 2023 del que se tomarán los apartes para la construcción de las pautas metodológica para las capacitaciones del año 2024.</t>
  </si>
  <si>
    <t>BP2600262810201</t>
  </si>
  <si>
    <t xml:space="preserve">Brindar asistencia técnica a 2 entidades territoriales  </t>
  </si>
  <si>
    <t>Se llevó a cabo Primera Sesión del Comité de DDHH y se relizaron mesas tecnicas con 3 organismos</t>
  </si>
  <si>
    <t xml:space="preserve">Niños, niñas, adolescentes y jóvenes sensibilizados para la prevención de los delitos de desaparición, trata, reclutamiento forzado, uso y utilización de menores </t>
  </si>
  <si>
    <t>Fortalecimiento de las acciones de prevención de las vulneraciones y/o violaciones a los derechos humanos en NNAJ  en Santiago de  Cali</t>
  </si>
  <si>
    <t>BP26002673</t>
  </si>
  <si>
    <t>BP2600267310101</t>
  </si>
  <si>
    <t>Realizar  un documento metodológico en la promoción de derechos humanos en niños, niñas, adolescentes y jóvenes</t>
  </si>
  <si>
    <t xml:space="preserve">Ajuste de la pauta metodológica sobre prevención de reclutamiento, uso y utilización de NNAJ propuesto por el equipo
</t>
  </si>
  <si>
    <t>BP2600267310201</t>
  </si>
  <si>
    <t xml:space="preserve">Capacitar a 1000 personas NNAJ en promoción de derechos humanos y en prevención de sus vulneraciones y/o violaciones </t>
  </si>
  <si>
    <t>Espacios de socialización de la Estrategia para la prevención del reclutamiento, uso y utilización de NNAJ en la institución Educativa Moderno Desepaz y la Institución Educativa Técnica Ciudadela DESEPAZ.
Se realizaron tres talleres con estudiantes de los grados 10-1, 10-2 y 11-01 y 11-02 del Instituto Moderno Desepaz,</t>
  </si>
  <si>
    <t>Personas que participan en la promoción y protección de Derechos Humanos, la naturaleza, los seres sintientes y la prevención de sus vulneraciones</t>
  </si>
  <si>
    <t>Fortalecimiento de la cultura de derechos humanos, de la naturaleza y seres sintientes, su protección y prevención de las vulneraciones y/o violaciones en Santiago de   Cali</t>
  </si>
  <si>
    <t>BP26002782</t>
  </si>
  <si>
    <t>BP2600278210101</t>
  </si>
  <si>
    <t>Implementar 4 estrategias de promoción de la garantía de derechos humanos, de la naturaleza yseres
sintientes</t>
  </si>
  <si>
    <t xml:space="preserve"> Socialización de la estrategia “Para la Paz Todos y Todas Ponemos” en el barrio petecuy 3, comuna 6, mediante la feria de servicios en asociación con la casa de justicia de Alfonso López,</t>
  </si>
  <si>
    <t>BP2600278210102</t>
  </si>
  <si>
    <t>Promover 1 espacio de participación ciudadana</t>
  </si>
  <si>
    <t>Se lleva a cabo la participación en reunión con la red de defensores y defensoras populares de derechos humanos del Distrito Especial de Santiago de Cali</t>
  </si>
  <si>
    <t>BP2600278210201</t>
  </si>
  <si>
    <t>Personas que participan de la estrategia de derechos humanos y prevención de la trata de personas</t>
  </si>
  <si>
    <t>Capacitar a 1200 personas en derechos humanos y prevención de trata</t>
  </si>
  <si>
    <t>BP2600278210202</t>
  </si>
  <si>
    <t>Realizar un documento metodológico en la prevención de los riesgos de vulneración y/o violación a los derechos</t>
  </si>
  <si>
    <t>Documento metodológico realizado</t>
  </si>
  <si>
    <t>Primera sesión ordinaria del comité interinstitucional para la lucha contra la trata de personas del distrito especial de Santiago de Cali,</t>
  </si>
  <si>
    <t>BP2600278210203</t>
  </si>
  <si>
    <t>Generar 2 espacios de integración de oferta pública</t>
  </si>
  <si>
    <t xml:space="preserve">Espacios de diálogo, reconciliación, construcción de paz y Cuidado de la Casa Común creados </t>
  </si>
  <si>
    <t>Fortalecimiento en procesos de diálogos, mediación de conflictos y prevención de  vulneración de  derechos  humanos en Santiago de   Cali</t>
  </si>
  <si>
    <t>BP26003869</t>
  </si>
  <si>
    <t>BP2600386910101</t>
  </si>
  <si>
    <t>Espacios de diálogo, reconciliación, construcción de paz y Cuidado de la Casa Común creados</t>
  </si>
  <si>
    <t>Promover 72 espacios de participación de diálogo, reconciliación, construcción de paz y Cuidado de la Casa Común</t>
  </si>
  <si>
    <t>Se acompañaron 16 espacios de diálogo, reconciliación, construcción de paz y cuidado de la casa común, mediante el acompañamiento a través de la estrategia de mediadores de paz a los procesos de movilización y protesta social que surgieron por las distintas problemáticas de la ciudad relacionadas con vivienda,  movilización y acciones políticas a favor y en
contra de gobierno nacional, regional y local, por posibles hechos de vulneración a derechos fundamentales como acceso a la educación, a la salud, altrabajo digno a servicios públicos, así como en el acompañamiento a acciones
colectivas y conmemorativas, culturales y sociales.</t>
  </si>
  <si>
    <t>BP2600386910201</t>
  </si>
  <si>
    <t>Implementar 1 estrategias de promoción de la garantía de derechos humanos</t>
  </si>
  <si>
    <t xml:space="preserve"> Construcción de la estrategia  “Vení reconciliémonos y construyamos paces desde los territorios”  </t>
  </si>
  <si>
    <t>BP2600386910301</t>
  </si>
  <si>
    <t>Asistir y apoyar 1 Instancia territorial de coordinación institucional ante situaciones conflictivas complejas</t>
  </si>
  <si>
    <t>Personas en proceso de reincorporación, reintegración, desvinculados del conflicto armado con orientación social, política y comunitaria</t>
  </si>
  <si>
    <t>Fortalecimiento de escenarios y oportunidades sociales, políticas y comunitarias que faciliten los procesos de reincorporación, reintegración y reconciliación en Santiago de Cali</t>
  </si>
  <si>
    <t>BP26002631</t>
  </si>
  <si>
    <t>BP2600263110101</t>
  </si>
  <si>
    <t>Promover 8 espacios de partiicipacion ciudadana que faciliten la reconciliación</t>
  </si>
  <si>
    <t>BP2600263110102</t>
  </si>
  <si>
    <t>Personas en proceso de reincorporación,
reintegración, desvinculados del conflicto
armado con orientación social, política y
comunitaria</t>
  </si>
  <si>
    <t>Capacitar 300 personas en proceso de reincorporación,
reintegración, desvinculados del conflicto
armado con orientación social, política y
comunitaria</t>
  </si>
  <si>
    <t xml:space="preserve">Se avanzó en el diseño de la pauta metodológica en temas de prevención de la estigmatización y reconciliación con la población excombatiente y la comunidad. </t>
  </si>
  <si>
    <t>BP2600263110201</t>
  </si>
  <si>
    <t>Generar 5 espacios de integración de oferta pública en las rutas acceso dirigida a los excombatientes del conflicto armado.</t>
  </si>
  <si>
    <t>BP2600263110202</t>
  </si>
  <si>
    <t>Beneficiar a 200 personas con el servicio de apoyo en el acceso a programas de educación en el trabajo y el desarrollo humano</t>
  </si>
  <si>
    <t>Personas beneficiadas de servicios de educación para el trabajo y el desarrollo humano</t>
  </si>
  <si>
    <t>Programación articulación con la ARN y Descretaría de Desarrollo Económico</t>
  </si>
  <si>
    <t>BP2600263110203</t>
  </si>
  <si>
    <t>Realizar 7 misiones humanitarias en la prevención a violaciones de derechos humanos</t>
  </si>
  <si>
    <t>Museo de la Casa de las Memorias del Conflicto y la Reconciliación adecuado, equipado y en operación en el territorio</t>
  </si>
  <si>
    <t>Fortalecimiento del museo de la casa de las memorias del conflicto y la reconciliación de Santiago de   Cali</t>
  </si>
  <si>
    <t>BP26002781</t>
  </si>
  <si>
    <t>BP2600278110101</t>
  </si>
  <si>
    <t>Adecuar una infraestructura de la casa de las memorias en la promoción a la cultura de la legaliad y la convivencia</t>
  </si>
  <si>
    <t>Infraestructura para la promoción a la cultura de la legalidad y a la convivencia adecuada</t>
  </si>
  <si>
    <t>Se requiere la aprobacion para la ejecución de presupuesto de los proyectos, se realizaron cotizaciones para actualización de precios de los materiales para mejoras locativas.</t>
  </si>
  <si>
    <t>BP2600278110201</t>
  </si>
  <si>
    <t>Realizar 1 documento de lineamientos técnicos en el funcionamiento y actualización del Museo de la Casa de las Memorias del Conflicto y la Reconciliación</t>
  </si>
  <si>
    <t>Documento de lineamientos técnicos realizados</t>
  </si>
  <si>
    <t xml:space="preserve"> Revisión del documento metodológico para la exposición museoográfica del año 2024</t>
  </si>
  <si>
    <t>BP2600278110202</t>
  </si>
  <si>
    <t>Implementar 2 iniciativas en la promoción de la convivencia</t>
  </si>
  <si>
    <t xml:space="preserve">Plan de paz y convivencia pacífica implementado </t>
  </si>
  <si>
    <t>Desarrollo de acciones para la implementación del plan de paz y cultura ciudadana en Santiago de Cali</t>
  </si>
  <si>
    <t>BP26002750</t>
  </si>
  <si>
    <t>BP2600275010101</t>
  </si>
  <si>
    <t>Plan de paz y convivencia pacífica implementado</t>
  </si>
  <si>
    <t>Implementar 24 iniciativas de 155, en la promoción de la convivencia pacífica</t>
  </si>
  <si>
    <t>Se acompañaron todas las solicitudes de espacio con actores estratégicos y se lideró la articulación interinstitucional dentro de la Alcaldía. En enero no se tenía equipo para atender las solicitudes.
- 14 de febrero se realizó una mesa de diálogo en el CALI 20
-El 15 de febrero acercamiento con líderes del punto Puerto Rellena / Puerto Resistencia
-El 21 de febrero líderes de la comuna 20 en la caseta comunal, liderada por el presidente de la JAC
El 22 de febrero reunión con la Junta de Acción Comunal de la comuna 11 
-El 12 de marzo comunidad de El Morro en la comuna 18
-El 14 de marzo foro “Racismo y estereotipos sociales en Cali”
El 15 de marzo podcast “No se aceptan piropos” 
-El 19 de marzo colectivos sociales de la comuna 15
El 21 de marzo 1er encuentro de organizaciones sociales, populares, de resistencia y sectoriales para el Plan de Desarrollo Distrita</t>
  </si>
  <si>
    <t>BP2600275010201</t>
  </si>
  <si>
    <t>Capacitar a 200 personas en estrategias de impacto que promuevan la paz y la convivencia pacífica.</t>
  </si>
  <si>
    <t>Iniciativas de justicia comunitaria para la prevención y transformación de conflictos, implementadas</t>
  </si>
  <si>
    <t>Contribución a la implementación de la justicia de paz como mecanismo de resolución alternativa de conflictos en Santiago de Cali</t>
  </si>
  <si>
    <t>BP26002641</t>
  </si>
  <si>
    <t>BP2600264110101</t>
  </si>
  <si>
    <t xml:space="preserve">Iniciativas de Justicia Comunitaria para la
prevención y transformación de conflictos,
implementadas
</t>
  </si>
  <si>
    <t>Ejecutar 2 campañas de divulgacion de Justicia comunitaria en la
prevención y transformación de conflictos</t>
  </si>
  <si>
    <t xml:space="preserve"> Procesos de socialización y divulgación de la Justicia de Paz en la “Feria de Servicios recuperemos Cali” que se realizó en la polideportivo Mariano Ramos de la Comuna 16</t>
  </si>
  <si>
    <t>BP2600264110201</t>
  </si>
  <si>
    <t>Suscribir 7 compromisos de articulación entre las instituciones responsables de la implementación de la Justicia de Paz</t>
  </si>
  <si>
    <t>Compromisos suscritos</t>
  </si>
  <si>
    <t>Divulgación en la Universidad Autónoma de Occidente</t>
  </si>
  <si>
    <t xml:space="preserve">Plan distrital de reincorporación y reconciliación con enfoque de género y diferencial formulado e implementado </t>
  </si>
  <si>
    <t>Desarrollo e implementación del plan distrital de reincorporación y reconciliación con enfoque de género y diferencial en la ciudad de Santiago de   Cali</t>
  </si>
  <si>
    <t xml:space="preserve">BP26002657 </t>
  </si>
  <si>
    <t>BP2600265710101</t>
  </si>
  <si>
    <t>Implementar 8 estrategias de promoción de la garantía de derechos</t>
  </si>
  <si>
    <t xml:space="preserve">Reunión con la Federación de la mesa nacional del café – FEMCAFE, la Agencia para la Reincorporación y Normalización – ARN y la Misión de Verificación de la ONU, c
Articulación con la Agencia para la Reincorporación y Normalización – ARN, para la Casa del Reincorporado
</t>
  </si>
  <si>
    <t>BP2600265710102</t>
  </si>
  <si>
    <t>Plan distrital de reincorporación y reconciliación con enfoque de género y diferencial formulado e implementado</t>
  </si>
  <si>
    <t>Actualizar el documento Plan distrital de reincorporación y reconciliación con enfoque de género y diferencial</t>
  </si>
  <si>
    <t>En el mes de marzo se avanzó en cambios de contenido y forma que tiene el documento "Plan de reincorporación con enfoque de género". Lo anterior en relación con la operativización del plan en los 10 años y en los ajustes de forma que con el cambio de gobierno y de políticas públicas en especial lo relacionado con el Plan de desarrollo implica.</t>
  </si>
  <si>
    <t>BP2600265710103</t>
  </si>
  <si>
    <t>Generar 3 espacios de integración de oferta pública</t>
  </si>
  <si>
    <t xml:space="preserve"> Planeación de tres mesas de diálogo que trabajen los enfoques diferenciales: género, etnia y discapacidad en articulación con la ARN</t>
  </si>
  <si>
    <t>BP2600265710201</t>
  </si>
  <si>
    <t>Promover 7 espacios de participación</t>
  </si>
  <si>
    <t>Iniciativas institucionales de prevención y promoción de la vulneración de derechos humanos en salud y en salud mental creadas</t>
  </si>
  <si>
    <t>Desarrollo de Iniciativas institucionales de prevención y promoción de la vulneración de Derechos Humanos en Salud y en Salud Mental en Santiago de Cali</t>
  </si>
  <si>
    <t>BP26002751</t>
  </si>
  <si>
    <t>BP2600275110101</t>
  </si>
  <si>
    <t>Capacitar 100 personas en derechos humanos de los pacientes con alguna afectacion en su salud fisica o mental, sus familia y comunidad.</t>
  </si>
  <si>
    <t xml:space="preserve"> Ponencia “Políticas públicas en Colombia un obstáculo para el acceso al aborto”  </t>
  </si>
  <si>
    <t>BP2600275110201</t>
  </si>
  <si>
    <t>Iniciativas intitucionales de prevención y promoción de la vulneración de derechos
humanos en Salud y en salud mental creadas</t>
  </si>
  <si>
    <t>Implementar 5 estrategias de promoción de la garantia de derechos Humanos en Salud y en Salud Mental</t>
  </si>
  <si>
    <t xml:space="preserve">1) Iniciativa de fortalecimiento de la garantía de derechos humanos en salud y salud mental, mediante el fortalecimiento de la inteligencia emocional de la población migrante, para ello se logró formalizar la articulación interinstitucional con el Centro Intégrate </t>
  </si>
  <si>
    <t>BP2600275110301</t>
  </si>
  <si>
    <t>Realizar un documento tecnico en la gestión de los procesos de atención en salud y salud mental.</t>
  </si>
  <si>
    <t>Red de defensoras y defensores populares de DDHH y construcción de paz urbana implementada</t>
  </si>
  <si>
    <t>Conformación de la Red de Defensores y Defensoras Populares de Derechos Humanos para la construcción de Paz Urbana de Santiago de Cali.</t>
  </si>
  <si>
    <t>BP26002739</t>
  </si>
  <si>
    <t>BP2600273910101</t>
  </si>
  <si>
    <t xml:space="preserve">Capacitar 60 personas sobre derechos humanos y derecho internacional humanitario con defensores y defensoras de derechos humanos  </t>
  </si>
  <si>
    <t>Se realizó encuentro de Gestión del Concomiento para la Red de Defensores, capacitando a 15 personas.</t>
  </si>
  <si>
    <t>BP2600273910201</t>
  </si>
  <si>
    <t>Red de defensoras y defensores populares
de DDHH y construcción de paz urbana
implementada</t>
  </si>
  <si>
    <t>Realizar  un documento tecnico en prevención ante las vulneraciones de Derechos Humanos de defensores y defensoras populares de Derechos Humanos y Construcción de Paz</t>
  </si>
  <si>
    <t>Se realizó la elaboración de 2 componentes del documento de lineamientos tales como: 1.Normativo
2. Estadístico, Socio Económico. etc.</t>
  </si>
  <si>
    <t>Instituciones Educativas Oficiales que fortalecen estrategias distritales en educación para la paz y gestión dialógica del conflicto</t>
  </si>
  <si>
    <t>Fortalecimiento de la atención diferencial ante la feminización de las vulneraciones de derechos humanos y el derecho internacional humanitario a lideresas sociales en la ciudad de Santiago de   Cali</t>
  </si>
  <si>
    <t>BP26002983</t>
  </si>
  <si>
    <t>BP2600298310101</t>
  </si>
  <si>
    <t xml:space="preserve">Iniciativas de prevención, promoción y protección ante la feminización de la vulneración de los Derechos Humanos y del DIH, desarrolladas </t>
  </si>
  <si>
    <t xml:space="preserve">Proyecto que en presupuesto tiene un  area funcional  diferente  desde su creacion </t>
  </si>
  <si>
    <t>BP2600298310201</t>
  </si>
  <si>
    <t>Brindar protección a 20 personas en riesgo extraordinario y extremo</t>
  </si>
  <si>
    <t>Iniciativas de prevención, promoción y protección ante la feminización de la vulneración de los Derechos Humanos y del DIH, desarrolladas</t>
  </si>
  <si>
    <t xml:space="preserve">Política pública de paz y reconciliación, adoptada </t>
  </si>
  <si>
    <t>Fortalecimiento de la cohesión social  y prevención de la violencia social a través de la adopción de la política pública de paz y reconciliación en la ciudad de Cali</t>
  </si>
  <si>
    <t>BP26002636</t>
  </si>
  <si>
    <t>BP2600263610101</t>
  </si>
  <si>
    <t>Política pública de paz y reconciliación, adoptada</t>
  </si>
  <si>
    <t>Realizar un documento de lineamientos técnicos de la Política Pública</t>
  </si>
  <si>
    <t>Documento de lineamientos técnicos realizado</t>
  </si>
  <si>
    <t>Reunión de asistencia técnica para el ajuste de los documentos técnicos de la Política Pública de Paz y Reconciliación. actualización diagnóstico y marco normativo.</t>
  </si>
  <si>
    <t>BP2600263610201</t>
  </si>
  <si>
    <t>Promover 7 espacios de participación, ciudadana, diálogo y concertación para la construcción de paz y la reconciliación</t>
  </si>
  <si>
    <t xml:space="preserve"> 1) Primer diálogo para la participación en el ajuste de la formulación de la Política Pública de Paz y Reconciliación</t>
  </si>
  <si>
    <t xml:space="preserve">Ruta para la protección de las violencias individuales y colectivas contra líderes y lideresas de procesos, organizaciones y movimientos sociales </t>
  </si>
  <si>
    <t>Formulación de una ruta para la protección de violencias individuales y colectivas en contra de los líderes y lideresas de procesos, organizaciones y movimientos sociales de Santiago de   Cali</t>
  </si>
  <si>
    <t>BP26002633</t>
  </si>
  <si>
    <t>BP2600263310101</t>
  </si>
  <si>
    <t>Implementar un sistemas de información de los líderes, lideresas sociales, defensores y defensoras de Derechos Humanos</t>
  </si>
  <si>
    <t>BP2600263310102</t>
  </si>
  <si>
    <t>Realizar un documento técnico de apoyo a la Ruta para la protección de las violencias</t>
  </si>
  <si>
    <t>BP2600263310103</t>
  </si>
  <si>
    <t>Ruta para la protección de las violencias individuales y colectivas contra líderes y lideresas de procesos, organizaciones y movimientos sociales</t>
  </si>
  <si>
    <t>Implementar una estrategias de promoción de la garantía de derechos humanos</t>
  </si>
  <si>
    <t xml:space="preserve"> Se elaboró la pauta metodológica de las campañas en redes sociales que tiene como objetivo generar conciencia y promover buenas prácticas para la defensa de la causa de las lideresas y los líderes sociales de nuestra ciudad y acompañamiento jurídico a los líderes y lideresas sociales que refieren amenazas en contra de su vida e integridad física.
</t>
  </si>
  <si>
    <t>BP2600263310201</t>
  </si>
  <si>
    <t>Capacittar 200 personas en prevención, promoción y protección de Derechos Humanos</t>
  </si>
  <si>
    <t>Espacios intersectoriales e interinstitucionales coordinados en estrategias de corresponsabilidad y cooperación en la consolidación de la paz territorial junto con líderes territoriales</t>
  </si>
  <si>
    <t>Fortalecimiento de estrategias de corresponsabilidad para la vida, la paz y la cultura ciudadana en Santiago de Cali</t>
  </si>
  <si>
    <t>BP26002662</t>
  </si>
  <si>
    <t>BP2600266210101</t>
  </si>
  <si>
    <t>Espacios intersectoriales e
interinstitucionales coordinados en
estrategias de corresponsabilidad y
cooperación en la consolidación de la paz
territorial junto con líderes territoriales</t>
  </si>
  <si>
    <t>Promover 2 espacios intersectoriales e interinstitucionales coordinados en estrategias de corresponsabilidad y cooperación en la consolidación de la paz territorial junto con líderes territoriales</t>
  </si>
  <si>
    <t>Se realizó revisión de estado de arte sobre estrategias de estímulos desarrolladas en Colombia, en Santiago de Cali, con el fin de contextualizar y ampliar los conocimientos alrededor de las necesidades, las bases de diseño y creación de la estrategia de estímulos.</t>
  </si>
  <si>
    <t>BP2600266210201</t>
  </si>
  <si>
    <t>Generar 2 espacios de actores y corresponsables locales, nacionales e internacionales en los procesos de integracion institucional</t>
  </si>
  <si>
    <t>Se desarrollaron 4 reuniones con entidades de cooperación internacional en el marco de construir alianzas estratégicas que apalanquen los procesos de la Secretaría de Paz y Cultura ciudadana, OIM, USAID, ACDIVOCA.equipo jurídico.Se diseñó presentación que busca brindar una aproximaciòn conceptual.</t>
  </si>
  <si>
    <t xml:space="preserve">Instituciones Educativas Oficiales que fortalecen estrategias distritales en educación para la paz y gestión dialógica del conflicto  </t>
  </si>
  <si>
    <t>Fortalecimiento de las instituciones educativas oficiales  en estrategias de educación para la paz y gestión dialógica del conflicto en  Santiago de   Cali</t>
  </si>
  <si>
    <t>BP26002982</t>
  </si>
  <si>
    <t>BP2600298210101</t>
  </si>
  <si>
    <t>Capacitar 500 personas en 15 Instituciones educativas oficiales con estrategias distritales en educación para la paz y gestión dialógica del conflicto.</t>
  </si>
  <si>
    <t xml:space="preserve">Se realizó un taller sobre la importancia de la participación política, del gobierno escolar, la elección del personero y del contralor en la I.E.O. Francisco José Lloreda en el sector del Saladito.
</t>
  </si>
  <si>
    <t>BP2600298210201</t>
  </si>
  <si>
    <t>Realizar un documento metodológico de educación para la paz y gestión dialógica del conflicto</t>
  </si>
  <si>
    <t>Política Pública de Barrismo Social formulada, aprobada y socializada, articulada con la ley 1445 de 2011</t>
  </si>
  <si>
    <t>Fortalecimiento de las acciones  de formulación  y socialización de la política publica del barrismo social en Santiago de Cali.</t>
  </si>
  <si>
    <t>BP26004155</t>
  </si>
  <si>
    <t>BP2600415510101</t>
  </si>
  <si>
    <t>Realizar el documento Política Pública de Barrismo Social formulada, aprobada y socializada, articulada con la ley 1445 de 2011</t>
  </si>
  <si>
    <t>Documentos de lineamientos técnicos Realizados</t>
  </si>
  <si>
    <t>Revisión y adecuacioón el documento de la política pública de barrismo social, para la presentación a las dependencias encargadas de dar la viabilidad</t>
  </si>
  <si>
    <t>BP2600415510201</t>
  </si>
  <si>
    <t>Promover 25 espacios de participación</t>
  </si>
  <si>
    <t>Estrategias encaminadas a promover una cultura de paz interespecie y disminuir la violencia hacia los animales no humanos</t>
  </si>
  <si>
    <t>Incorporación  de la cultura de paz interespecie y de protección ambiental en Santiago de   Cali</t>
  </si>
  <si>
    <t>BP26002643</t>
  </si>
  <si>
    <t>BP2600264310101</t>
  </si>
  <si>
    <t>Capacitar a 515 personas en estrategias de cultura ciudadana que desincentiven el uso de los animales no humanos como recurso</t>
  </si>
  <si>
    <t xml:space="preserve"> Planeación estrategia de capacitación al gremio Taxista de cara a la COP-16, así mismo se realizó una jornada de sensibilización en materia de manejo de residuos de mascotas y cuidado del medio ambiente en la entrega del boulevard del oriente con el acompañamiento de una iniciativa comunitaria del Ecobarrio de la comuna 4.</t>
  </si>
  <si>
    <t>BP2600264310102</t>
  </si>
  <si>
    <t>Implementar 1 estrategias de promoción de una cultura de paz interespecie y disminuir la violencia hacia los animales no humanos</t>
  </si>
  <si>
    <t>Estrategias de promoción implementadas</t>
  </si>
  <si>
    <t>Se han venido acompañando y convocando a reuniones con diferentes grupos, colectivos y organizaciones sociales dedicadas al cuidado del medio ambiente para definicipon de la estrategia</t>
  </si>
  <si>
    <t>BP2600264310202</t>
  </si>
  <si>
    <t>Generar un especicio de integración de oferta pública</t>
  </si>
  <si>
    <t>Cali, gobierno incluyente</t>
  </si>
  <si>
    <t xml:space="preserve"> Fortalecimiento Institucional</t>
  </si>
  <si>
    <t>Líneas de servicios certificadas del proceso Gestión de Paz y Cultura Ciudadana bajo la norma técnica de gestión de Calidad ISO 9001:2015</t>
  </si>
  <si>
    <t>Fortalecimiento de la gestión institucional por resultados basada en el modelo integrado de planeación y gestión de Santiago de Cali</t>
  </si>
  <si>
    <t>BP26002956</t>
  </si>
  <si>
    <t>BP2600295610101</t>
  </si>
  <si>
    <t>Implementar un sistema de gestion en líneas de servicios certificadas del proceso Gestión de Paz y Cultura Ciudadana bajo la norma técnica de gestión de Calidad ISO 9001:2015</t>
  </si>
  <si>
    <t>Se realizo avance en la implementación del SGC en el numeral 5 Roles y responsabilidades, 6,1 Abordar riesgos y oportunidades 7,3 toma de conciencia, 7,5 informacion documentada, 6,2 objetivos de calidad y planificacion de cambios, 9 y 10 evaluación y mejora , asi mismo se realizo apoyos técnicos dimensión 2,3,4,5,6,7</t>
  </si>
  <si>
    <t>BP2600295610201</t>
  </si>
  <si>
    <t>Capacitar 150 personas en procesos de divulgación y socialización de los componentes del MIPG en los procesos</t>
  </si>
  <si>
    <t>Se inició la campaña "JUNTOS APROPIANDO SGC" con la subsecretaria de derechos humanos y construccion de paz.</t>
  </si>
  <si>
    <t xml:space="preserve">Investigaciones cuantitativa y cualitativa en temas de paz, cultura ciudadana, respeto por la casa común y otros seres sintientes, derechos humanos y acuerdo de paz realizadas </t>
  </si>
  <si>
    <t xml:space="preserve">Formulación de investigaciones para paz, cultura ciudadana, respeto por la casa común y otros seres sintientes, derechos humanos y acuerdo de paz en Santiago de Cali </t>
  </si>
  <si>
    <t>BP26002674</t>
  </si>
  <si>
    <t>BP2600267410101</t>
  </si>
  <si>
    <t>Investigaciones cuantitativa y cualitativa en temas de paz, cultura ciudadana, respeto por la casa común y otros seres sintientes, derechos humanos y acuerdo de paz realizadas</t>
  </si>
  <si>
    <t>Elaborar un documentos de investigación cuantitativa y cualitativa en temas de paz, cultura ciudadana, respeto por la casa común y otros seres sintientes, derechos humanos y acuerdo de paz</t>
  </si>
  <si>
    <t>Documento de investigación elaborado</t>
  </si>
  <si>
    <t xml:space="preserve"> Ajuste formulario para la recolección de información sobre protesta social.  </t>
  </si>
  <si>
    <t>BP2600267410201</t>
  </si>
  <si>
    <t>Implementar un sistema de información</t>
  </si>
  <si>
    <t>Cidadanía activa y gobernanza</t>
  </si>
  <si>
    <t>Política Pública de Cultura Ciudadana formulada, aprobada y socializada</t>
  </si>
  <si>
    <t>Fortalecimiento de las acciones de intervención en la Cultura Ciudadana  de Santiago de Cali</t>
  </si>
  <si>
    <t>BP26002568</t>
  </si>
  <si>
    <t>BP2600256810101</t>
  </si>
  <si>
    <t>Formular un documento de lineamientos técnicos de la Política Pública de Cultura Ciudadana</t>
  </si>
  <si>
    <t>Primera Sesión Concejo Consultivo de Cultura Ciudadana y exposición Política Pública de Cultura Ciudadana</t>
  </si>
  <si>
    <t>BP2600256810201</t>
  </si>
  <si>
    <t>Realizar 10 espacios de Socialización del documento de Política Pública de Cultura Ciudadana</t>
  </si>
  <si>
    <t>Personas formadas en cultura ciudadana para la paz, la convivencia y la reconciliación</t>
  </si>
  <si>
    <t>Formación de capacidades para resolver los conflictos del hogar y de convivencia ciudadana pacíficamente en la ciudad de Santiago  Cali</t>
  </si>
  <si>
    <t>BP26002635</t>
  </si>
  <si>
    <t>BP2600263510101</t>
  </si>
  <si>
    <t>Atender 100 familias en pautas de crianza con perspectiva de género y reconciliación</t>
  </si>
  <si>
    <t xml:space="preserve"> 19 familias atendidas en  la Comuna 13</t>
  </si>
  <si>
    <t>BP2600263510102</t>
  </si>
  <si>
    <t>Atender a 500 niños, niñas, adolescentes y jóvenes con servicio de protección en el restablecimiento de derechos</t>
  </si>
  <si>
    <t>48 estudiantes impactados en la comuna 17, y 13</t>
  </si>
  <si>
    <t>BP2600263510201</t>
  </si>
  <si>
    <t>Capacitar a 300 personas en interiorización y utilización de herramientas en la resolución pacífica en los conflictos cotidianos</t>
  </si>
  <si>
    <t xml:space="preserve">26 personas participantes en las comuna 17,13 y 21.
</t>
  </si>
  <si>
    <t>BP2600263510301</t>
  </si>
  <si>
    <t>Ejecutar 5 acciones con las comunidades</t>
  </si>
  <si>
    <t>Acercamientos con diversos JAC y actores interesado en la realización de los encuentro comunitarios</t>
  </si>
  <si>
    <t>Formación en convivencia escolar y competencias ciudadanas en Santiago de  Cali</t>
  </si>
  <si>
    <t>BP26002639</t>
  </si>
  <si>
    <t>BP2600263910101</t>
  </si>
  <si>
    <t>Formación en convivencia escolar y competencias ciudadanas en Santiago de Cali</t>
  </si>
  <si>
    <t>Capacitar a 1800 personas en habilidades en convivencia escolar y competencias ciudadanas</t>
  </si>
  <si>
    <t xml:space="preserve">
Durante el mes de marzo se inició con las Instituciones Educativas Oficiales los talleres diagnósticos, donde se contó con la participación de 173 estudiantes, adicionalmente se realizaron talleres con 3 grupos Juveniles de diferentes comunas, para un total de 27 adolescentes y jóvenes.</t>
  </si>
  <si>
    <t>BP2600263910201</t>
  </si>
  <si>
    <t>Implementar 11 Iniciativas en la promoción de la convivencia</t>
  </si>
  <si>
    <t>Matriz de sistematización de las iniciativas.</t>
  </si>
  <si>
    <t>Iniciativas institucionales y comunitarias en cultura ciudadana y promoción de nuevas normalidades apoyadas.</t>
  </si>
  <si>
    <t>Fortalecimiento de iniciativas institucionales y comunitarias para la construcción de cultura ciudadana y paz en Santiago de   Cali</t>
  </si>
  <si>
    <t>BP26002646</t>
  </si>
  <si>
    <t>BP2600264610101</t>
  </si>
  <si>
    <t>Realizar un documento de lineamientos técnicos en iniciativas en buenas prácticas de cultura ciudadana y de construcción de paz.</t>
  </si>
  <si>
    <t>se realizó la construcción del documento metodológico con el equipo de trabajo  para la estrategia de guardianes de vida y proponer toda la metodología para alcanzar las metas del proyecto.</t>
  </si>
  <si>
    <t>BP2600264610201</t>
  </si>
  <si>
    <t>Promover 8 espacios de participación de buenas prácticas de cultura ciudadana y de construcción de paz.</t>
  </si>
  <si>
    <t>Espacios de participación promovidos.</t>
  </si>
  <si>
    <t>Implementación de estrategias de Cultura Ciudadana en el cuidado de la vida y la adaptación a nuevos contextos sociales en Santiago de Cali</t>
  </si>
  <si>
    <t>BP26003866</t>
  </si>
  <si>
    <t>BP2600386610301</t>
  </si>
  <si>
    <t>Capacitar 500 personas en procesos de formación pedagógica en el cuidado de la vida y la adaptación a nuevos contextos sociales</t>
  </si>
  <si>
    <t xml:space="preserve">se realizó la construcción del documento metodológico para la estrategia de guardianes de vida  </t>
  </si>
  <si>
    <t>BP2600386610201</t>
  </si>
  <si>
    <t>Apoyar una instancia territorial de coordinación institucional de cultura ciudadana en torno al cuidado de la vida y la adaptación a nuevos contextos sociales</t>
  </si>
  <si>
    <t>BP2600386610101</t>
  </si>
  <si>
    <t>Realizar 26 iniciativas ambientales y pedagogicas en las estrategias del autocuidado y la adaptación a nuevos contextos sociales</t>
  </si>
  <si>
    <t>Colectivos Urbanos y rurales de cultura ciudadana y construcción de Paz apoyados y promovidos</t>
  </si>
  <si>
    <t xml:space="preserve">Fortalecimiento de la cultura ciudadana y las narrativas de paz, desde el arte en los colectivos urbanos y rurales de Santiago de Cali. </t>
  </si>
  <si>
    <t>BP26002561</t>
  </si>
  <si>
    <t>BP2600256110101</t>
  </si>
  <si>
    <t>Capacitar 760 personas que Promueven colectivos Urbanos y rurales de cultura ciudadana y construcción de Paz</t>
  </si>
  <si>
    <t>Actualización de Pauta Metodológica de Formación</t>
  </si>
  <si>
    <t>BP2600256110201</t>
  </si>
  <si>
    <t>Promover un espacio de participacion</t>
  </si>
  <si>
    <t>Espacios de participacion promovidos</t>
  </si>
  <si>
    <t xml:space="preserve">Reuniones preparatorias para la planeacion y programacion de los festivales de arte urbano cop 16, festival graficalia y intercolegiado de muralismo. </t>
  </si>
  <si>
    <t>Iniciativas institucionales de promoción a la caleñidad implementadas</t>
  </si>
  <si>
    <t>Fortalecimiento de los procesos de identidad caleña en la cultura de Santiago de Cali</t>
  </si>
  <si>
    <t>BP26002634</t>
  </si>
  <si>
    <t>BP2600263410101</t>
  </si>
  <si>
    <t>Capacitar 100 personas en el sentido de pertenencia de los ciudadanos con la ciudad, su cultura y tradiciones.</t>
  </si>
  <si>
    <t>La convocatoria para seleccionar a los 100 beneficiarios aun no inicia. esta convocatoria esta programa para arrancar en mes de abril. Asi mismo, se realizaron modificaciones a la cadena de valor de este proyecto, lo cual atrasa el inicio del mismo.</t>
  </si>
  <si>
    <t>BP2600263410201</t>
  </si>
  <si>
    <t>Realizar 6 iniciativas de promoción a la participación ciudadana en reconocimiento a la cultura de la caleñidad.</t>
  </si>
  <si>
    <t>Espacios de participación Promovidos</t>
  </si>
  <si>
    <t>Encuentros ciudadanos de sensibilización en temas de cultura ciudadana realizados</t>
  </si>
  <si>
    <t>Fortalecimiento de la participación de las diferentes expresiones de la diversidad cultural presentes en la construcción de la Cultura Ciudadanía de Santiago  de  Cali</t>
  </si>
  <si>
    <t>BP26002644</t>
  </si>
  <si>
    <t>BP2600264410101</t>
  </si>
  <si>
    <t>Realizar un documento metologio en reconocimiento de la diversidad cultural y sus expresiones</t>
  </si>
  <si>
    <t>Documentos metodológico realizados</t>
  </si>
  <si>
    <t>Busqueda de base de datos de expresiones y manifestaciones culturales en la ciudad</t>
  </si>
  <si>
    <t>BP2600264410102</t>
  </si>
  <si>
    <t>Generar 7 espacios de integracion de ofertas publica en el reconocimiento e integracion intercultural</t>
  </si>
  <si>
    <t>BP2600264410201</t>
  </si>
  <si>
    <t>Promover 5 espacios de partipación en acciones que promueven o expresan la diversidad en sus distintas manifestaciones</t>
  </si>
  <si>
    <t xml:space="preserve">
Espacios de participación promovidos</t>
  </si>
  <si>
    <t xml:space="preserve">Ejecucion  fisica </t>
  </si>
  <si>
    <t xml:space="preserve">Ejecucion  fisica  en  cero </t>
  </si>
  <si>
    <t>51</t>
  </si>
  <si>
    <t>Actores oferentes de capacidades TIC formados y activos en la plataforma</t>
  </si>
  <si>
    <t>Optimización del capital humano capacitado en Tecnologías de la Cuarta Revolución Industrial en la ciudad de Santiago de Cali</t>
  </si>
  <si>
    <t>BP26003402</t>
  </si>
  <si>
    <t>Secretaría de Desarrollo Económico-Subsecretaría de Cadenas de Valor</t>
  </si>
  <si>
    <t>BP2600340210101</t>
  </si>
  <si>
    <t>Actores oferentes de capacidades TIC
formados y activos en la plataforma</t>
  </si>
  <si>
    <t>Capacitar (200) personas  en educación informal para aumentar la calidad y cantidad de talento humano para la industria TI</t>
  </si>
  <si>
    <t>Al tercer trimestre del 2024, Se identificaron los distintos actores del ecosistema academico y empresarial para los cuales se enfoca la promocion del conocimiento de la industria 4.0. Se estableció la metodologia a implementar para atender el objetivo del proyecto. Se establecieron actividades para levantar información de la plataforma de convocatoria talentotic junto con el Departamento Administrativo de Tecnologías de la Información y las Comunicaciones - DATIC</t>
  </si>
  <si>
    <t>BP2600340210201</t>
  </si>
  <si>
    <t>Realizar (1) documento de evaluación</t>
  </si>
  <si>
    <t>Documentos de evaluación realizados</t>
  </si>
  <si>
    <t>Laboratorios de innovación y emprendimientos en artes digitales desarrollados</t>
  </si>
  <si>
    <t>Construcción y dotación del Parque Tecnológico de Innovación San Fernando en Santiago de Cali</t>
  </si>
  <si>
    <t>BP26004119</t>
  </si>
  <si>
    <t>BP2600411910101</t>
  </si>
  <si>
    <t>Incrementar los niveles de alfabetización digital</t>
  </si>
  <si>
    <t>Construir y dotar (2) centros de ciencia</t>
  </si>
  <si>
    <t>Centros de Ciencia construidos y dotados</t>
  </si>
  <si>
    <t xml:space="preserve">Al primer trimestre del 2024, Se avanza en la construcción y dotación de la primera fase del Parque tecnológico y de innovación San Fernando, se han realizado  visitas semanales a la obra para verificar el avance de la misma, comités de obra y de interventoría, mesas de trabajo entre el equipo de supervisión, la interventoría y el constructor. </t>
  </si>
  <si>
    <t>Emprendimientos y empresas de la industria cultural y creativa de Cali beneficiados con asistencia técnica</t>
  </si>
  <si>
    <t>Asistencia técnica a empresas y emprendimientos de la industria cultural y creativa en Santiago de Cali</t>
  </si>
  <si>
    <t>BP26003071</t>
  </si>
  <si>
    <t>BP2600307110101</t>
  </si>
  <si>
    <t>Emprendimientos y empresas de la industria
cultural y creativa fortalecidos con asistencia
técnica</t>
  </si>
  <si>
    <t>Formar (75) personas en capital humano pertinente para el desarrollo empresarial de los territorios</t>
  </si>
  <si>
    <t xml:space="preserve">Personas formadas en habilidades y competencias </t>
  </si>
  <si>
    <t xml:space="preserve">Al primer trimestre del 2024, se ha realizado la planeación del año para el fortalecimiento de la industria cultural y creativa de Santiago de Cali; para esto sostuvo reunión con el sector para la priorización de acciones. Igualmente, se ha realizaron reuniones con diferentes actores estratégicos con la finalidad de buscar alianzas que permita robustecer el proceso. </t>
  </si>
  <si>
    <t>BP2600307110201</t>
  </si>
  <si>
    <t>Asistir técnicamente (105) Mipymes para el acceso a nuevos mercados</t>
  </si>
  <si>
    <t>Empresas asistidas técnicamente</t>
  </si>
  <si>
    <t>Fortalecimiento empresarial a las unidades productivas y microempresas del sector cultural y creativo del corregimiento Andes de Santiago de Cali</t>
  </si>
  <si>
    <t>BP26004950</t>
  </si>
  <si>
    <t>BP2600495010101</t>
  </si>
  <si>
    <t>Personas emprendedoras incluidas al Ecosistema de Emprendimiento Empresarial de  Santiago de Cali</t>
  </si>
  <si>
    <t>Beneficiar a (100) personas, a traves de servicios de asistencia técnica y acompañamiento productivo y empresarial</t>
  </si>
  <si>
    <t>Proyectos de inversión nacional y extranjera para el sector fílmico apoyados</t>
  </si>
  <si>
    <t>Producción cinematográfica y audiovisual competitiva en Santiago de Cali</t>
  </si>
  <si>
    <t>BP26003084</t>
  </si>
  <si>
    <t>BP2600308410101</t>
  </si>
  <si>
    <t>Número de proyectos de producción cinematográfica realizados en la ciudad de Cali</t>
  </si>
  <si>
    <t>Apoyar (6) procesos de formación artística y cultura</t>
  </si>
  <si>
    <t>BP2600308410201</t>
  </si>
  <si>
    <t>Beneficiar financieramente (6) producciones y coproducciones cinematográficas</t>
  </si>
  <si>
    <t>Producciones beneficiadas</t>
  </si>
  <si>
    <t>Al primer trimestre del 2024, se realizó la revisión de la estrategia para reestructurar las acciones para la formación en capital humano en el ámbito cinematográfico. Además, se han realizado reuniones y comités que permitan identificar los intereses, preferencias y mercado objetivo del sector audiovisual para articularlos a la estrategia de Economía Creativa 2024-2027. También se han revisado el plan de trabajo a implementar durante este año que permita fortalecer y visibilizar más el sector audiovisual en la ciudad en articulación con otras entidades públicas o privadas que permitan mejorar la competitividad del sector audiovisual en la ciudad que logra una mayor generación de empleo con la realización de los rodajes.</t>
  </si>
  <si>
    <t>BP2600308410301</t>
  </si>
  <si>
    <t>Promocionar  a Colombia en  (2) eventos como escenario de rodaje de películas</t>
  </si>
  <si>
    <t>Eventos atendidos</t>
  </si>
  <si>
    <t xml:space="preserve">Territorios competitivos </t>
  </si>
  <si>
    <t>Pequeñas empresas conectadas y vinculadas comercialmente con empresas líderes de sectores productivos</t>
  </si>
  <si>
    <t>Implementación de una estrategia de encadenamientos productivos en la ciudad de Cali</t>
  </si>
  <si>
    <t>BP26002737</t>
  </si>
  <si>
    <t>BP2600273710101</t>
  </si>
  <si>
    <t>Mipymes y/o emprendimientos fortalecidos en capacidades comerciales</t>
  </si>
  <si>
    <t>Elaborar (1) documento de lineamientos técnicos</t>
  </si>
  <si>
    <t xml:space="preserve">Al primer trimestre del 2024, Se encuentra en desarrollo el documento técnico de priorización de sectores económicos en la ciudad, al igual que el documento de caracterización de la cadena de turismo médico. </t>
  </si>
  <si>
    <t>BP2600273710201</t>
  </si>
  <si>
    <t>Asistir tecnicamente (50) Mipymes para el acceso a nuevos mercados</t>
  </si>
  <si>
    <t>Alianzas estratégicas implementadas para la promoción de la ciudad a nivel nacional e internacional</t>
  </si>
  <si>
    <t>Fortalecimiento a la promoción y atracción de inversión a nivel nacional e internacional de Santiago de Cali</t>
  </si>
  <si>
    <t>BP26004335</t>
  </si>
  <si>
    <t>Secretaría de Desarrollo Económico-Subsecretaría de Servicios Productivos y Comercio Colaborativo</t>
  </si>
  <si>
    <t>BP2600433510101</t>
  </si>
  <si>
    <t xml:space="preserve">Elaborar (1) documento de lineamientos técnicos </t>
  </si>
  <si>
    <t xml:space="preserve">Personas formadas en competencias laborales para la inserción en los sectores de mayor demanda del mercado laboral, con enfoque diferencial, de género y generacional </t>
  </si>
  <si>
    <t>Fortalecimiento de competencias laborales con enfoque diferencial, de género y generacional para los habitantes de la comuna 12 de Santiago de Cali</t>
  </si>
  <si>
    <t>BP26004927</t>
  </si>
  <si>
    <t>BP2600492710101</t>
  </si>
  <si>
    <t>Realizar (1) documento de lineamientos técnicos</t>
  </si>
  <si>
    <t>Documentos de lineamiento técnicos realizados</t>
  </si>
  <si>
    <t>BP2600492710201</t>
  </si>
  <si>
    <t>Personas desempleadas vinculadas a estrategia de inclusión laboral</t>
  </si>
  <si>
    <t>Formar (180) personas para el trabajo en competencias para la inserción laboral</t>
  </si>
  <si>
    <t>Servicio de formación para el trabajo en competencias para la inserción laboral</t>
  </si>
  <si>
    <t>Fortalecimiento de competencias laborales con enfoque diferencial, de género y generacional en la comuna 20 de Santiago de Cali</t>
  </si>
  <si>
    <t>BP26004994</t>
  </si>
  <si>
    <t>BP2600499410101</t>
  </si>
  <si>
    <t>BP2600499410201</t>
  </si>
  <si>
    <t>Formar (150) personas Indígenas para el trabajo en competencias para la inserción laboral</t>
  </si>
  <si>
    <t>Personas formadas</t>
  </si>
  <si>
    <t>Personas vinculadas a rutas para la inserción laboral</t>
  </si>
  <si>
    <t>Desarrollo de rutas de acercamiento entre la oferta y la demanda laboral a personas desempleadas en Santiago de Cali</t>
  </si>
  <si>
    <t>BP26003140</t>
  </si>
  <si>
    <t>BP2600314010101</t>
  </si>
  <si>
    <t>BP2600314010201</t>
  </si>
  <si>
    <t>Personas desempleadas vinculadas a rutas de inclusión laboral</t>
  </si>
  <si>
    <t>Asistir tecnicamente (2000) personas para el trabajo decente</t>
  </si>
  <si>
    <t>BP2600314010301</t>
  </si>
  <si>
    <t>Realizar (1) asistencia tecnica para la equidad laboral con enfoque de género</t>
  </si>
  <si>
    <t xml:space="preserve">Víctimas del conflicto armado formadas como técnicos laborales por competencias </t>
  </si>
  <si>
    <t>Desarrollo de competencias como técnicos laborales a víctimas del conflicto armado para la empleabilidad en Santiago de Cali</t>
  </si>
  <si>
    <t>BP26003129</t>
  </si>
  <si>
    <t>BP2600312910101</t>
  </si>
  <si>
    <t>BP2600312910201</t>
  </si>
  <si>
    <t>Víctimas del conflicto armado formadas como técnicos laborales por competencias</t>
  </si>
  <si>
    <t>Formar (100) personas para el trabajo en competencias para la inserción laboral</t>
  </si>
  <si>
    <t>BP2600312910301</t>
  </si>
  <si>
    <t>Realizar (1) estrategia para el fortalecimiento de la política de formación para el trabajo</t>
  </si>
  <si>
    <t>Estrategias realizadas</t>
  </si>
  <si>
    <t>Fortalecimiento al Ecosistema del Emprendimiento Empresarial y Social</t>
  </si>
  <si>
    <t xml:space="preserve">Personas fortalecidas en el ecosistema de emprendimiento empresarial y social con enfoque diferencial y de género </t>
  </si>
  <si>
    <t>Fortalecimiento al ecosistema empresarial y social con enfoque diferencial y de género en Santiago de Cali</t>
  </si>
  <si>
    <t>BP26002967</t>
  </si>
  <si>
    <t>BP2600296710101</t>
  </si>
  <si>
    <t>Al primer trimestre del 2024, Se ha avanzado en la construcción de los puntos que contendrá el documento de mapeo y caracterización de las unidades productivas. Se está realizando la caracterización de los emprendedores de la comuna 1, esta contiene preguntas técnicas que nos permitirán un mapeo del ecosistema empresarial local.</t>
  </si>
  <si>
    <t>BP2600296710201</t>
  </si>
  <si>
    <t>Personas fortalecidas en el ecosistema de emprendimiento empresarial y social</t>
  </si>
  <si>
    <t>Asistir tecnicamente (100) emprendedores y/o empresas en edad temprana</t>
  </si>
  <si>
    <t>Al primer trimestre del 2024, se avanzó en la conceptualización de las siguientes ferias: servicios financieros para pymes en articulación con los gremios y las entidades financieras, feria de servicios para emprendedores de la comuna 1. Se avanzó en la construcción de los programas que contendrá el proyecto de fortalecimiento empresarial con enfoque diferencial y/o género de la vigencia actual</t>
  </si>
  <si>
    <t>Fortalecimiento empresarial a las unidades productivas y microempresas de la comuna 18 de Santiago de Cali</t>
  </si>
  <si>
    <t>BP26004991</t>
  </si>
  <si>
    <t>BP2600499110101</t>
  </si>
  <si>
    <t>Beneficiar (130) personas tecnicamente y con acompañamiento productivo y empresarial</t>
  </si>
  <si>
    <t>Fortalecimiento empresarial a las unidades productivas y microempresas de la comuna 10 de Santiago de Cali</t>
  </si>
  <si>
    <t>BP26004945</t>
  </si>
  <si>
    <t>BP2600494510101</t>
  </si>
  <si>
    <t>Beneficiar (210) personas tecnicamente y con acompañamiento productivo y empresarial</t>
  </si>
  <si>
    <t>Fortalecimiento empresarial a las unidades productivas y microempresas de la comuna 13</t>
  </si>
  <si>
    <t>BP26004952</t>
  </si>
  <si>
    <t>BP2600495210101</t>
  </si>
  <si>
    <t>Beneficiar (120) personas tecnicamente y con acompañamiento productivo y empresarial</t>
  </si>
  <si>
    <t>Fortalecimiento empresarial a las unidades productivas y microempresas de la comuna 14 de Santiago de Cali</t>
  </si>
  <si>
    <t>BP26004921</t>
  </si>
  <si>
    <t>BP2600492110101</t>
  </si>
  <si>
    <t>Beneficiar (125) personas tecnicamente y con acompañamiento productivo y empresarial</t>
  </si>
  <si>
    <t>Fortalecimiento empresarial a las unidades productivas y microempresas de la comuna 15</t>
  </si>
  <si>
    <t>BP26004932</t>
  </si>
  <si>
    <t>BP2600493210101</t>
  </si>
  <si>
    <t>Beneficiar (100) personas tecnicamente y con acompañamiento productivo y empresarial</t>
  </si>
  <si>
    <t>Fortalecimiento empresarial a las unidades productivas y microempresas de la comuna 16 de Santiago de Cali</t>
  </si>
  <si>
    <t>BP26004948</t>
  </si>
  <si>
    <t>BP2600494810101</t>
  </si>
  <si>
    <t>Personas emprendedoras incluidas al Ecosistema de Emprendimiento Empresarial de Santiago de Cali</t>
  </si>
  <si>
    <t>Beneficiar (200) personas tecnicamente y con acompañamiento productivo y empresarial</t>
  </si>
  <si>
    <t>Fortalecimiento empresarial a las unidades productivas y microempresas de la comuna 21 de Santiago de Cali</t>
  </si>
  <si>
    <t>BP26004971</t>
  </si>
  <si>
    <t>BP2600497110101</t>
  </si>
  <si>
    <t>Beneficiar (88) personas tecnicamente y con acompañamiento productivo y empresarial</t>
  </si>
  <si>
    <t>Fortalecimiento empresarial a las unidades productivas y microempresas de la comuna 3 de Santiago de Cali</t>
  </si>
  <si>
    <t>BP26004931</t>
  </si>
  <si>
    <t>BP2600493110101</t>
  </si>
  <si>
    <t>Fortalecimiento empresarial a unidades productivas de la comuna 4 de Santiago de Cali</t>
  </si>
  <si>
    <t>BP26004942</t>
  </si>
  <si>
    <t>BP2600494210101</t>
  </si>
  <si>
    <t>Beneficiar (150) personas tecnicamente y con acompañamiento productivo y empresarial</t>
  </si>
  <si>
    <t>Fortalecimiento empresarial a las unidades productivas y microempresas de la comuna 5 de Santiago de Cali</t>
  </si>
  <si>
    <t>BP26004935</t>
  </si>
  <si>
    <t>BP2600493510101</t>
  </si>
  <si>
    <t>Fortalecimiento empresarial a las unidades productivas y microempresas de la comuna 6 de Santiago de Cali</t>
  </si>
  <si>
    <t>BP26004941</t>
  </si>
  <si>
    <t>BP2600494110101</t>
  </si>
  <si>
    <t>Fortalecimiento empresarial a las unidades productivas y microempresas de la comuna 7 de Santiago de Cali</t>
  </si>
  <si>
    <t>BP26004920</t>
  </si>
  <si>
    <t>BP2600492010101</t>
  </si>
  <si>
    <t>Beneficiar (75) personas tecnicamente y con acompañamiento productivo y empresarial</t>
  </si>
  <si>
    <t>Fortalecimiento empresarial a las unidades productivas y microempresas de la comuna 9 de Santiago de Cali</t>
  </si>
  <si>
    <t>BP26004901</t>
  </si>
  <si>
    <t>BP2600490110101</t>
  </si>
  <si>
    <t>Fortalecimiento empresarial a las unidades productivas y microempresas del corregimiento de Felidia de Santiago de Cali</t>
  </si>
  <si>
    <t>BP26004953</t>
  </si>
  <si>
    <t>BP2600495310101</t>
  </si>
  <si>
    <t>Beneficiar (15) personas tecnicamente y con acompañamiento productivo y empresarial</t>
  </si>
  <si>
    <t>Fortalecimiento empresarial a las unidades productivas y microempresas del corregimiento de Golondrinas de Santiago de Cali</t>
  </si>
  <si>
    <t>BP26004951</t>
  </si>
  <si>
    <t>BP2600495110101</t>
  </si>
  <si>
    <t>Beneficiar (60) personas tecnicamente y con acompañamiento productivo y empresarial</t>
  </si>
  <si>
    <t>Fortalecimiento empresarial a las unidades productivas y microempresas del corregimiento de La Buitrera de Santiago de Cali</t>
  </si>
  <si>
    <t>BP26004958</t>
  </si>
  <si>
    <t>BP2600495810101</t>
  </si>
  <si>
    <t>Fortalecimiento empresarial a las unidades productivas y microempresas del corregimiento de Navarro de Santiago de Cali</t>
  </si>
  <si>
    <t>BP26004955</t>
  </si>
  <si>
    <t>BP2600495510101</t>
  </si>
  <si>
    <t>Beneficiar (50) personas tecnicamente y con acompañamiento productivo y empresarial</t>
  </si>
  <si>
    <t>Fortalecimiento empresarial a las unidades productivas y microempresas del corregimiento Pance de Santiago de Cali</t>
  </si>
  <si>
    <t>BP26004947</t>
  </si>
  <si>
    <t>BP2600494710101</t>
  </si>
  <si>
    <t>Centros para el Emprendimiento y Desarrollo Empresarial y Social CEDES, en funcionamiento</t>
  </si>
  <si>
    <t xml:space="preserve">Adecuación de Centros de Desarrollo Empresarial para el fortalecimiento de emprendimientos y/o mipymes en Cali </t>
  </si>
  <si>
    <t>BP26004334</t>
  </si>
  <si>
    <t>BP2600433410101</t>
  </si>
  <si>
    <t>Centros para el Emprendimiento y Desarrollo
Empresarial y Social CEDES, en funcionamiento</t>
  </si>
  <si>
    <t>Mantener (1) Centros de convención</t>
  </si>
  <si>
    <t>Centro de convención mantenido</t>
  </si>
  <si>
    <t>Al primer trimestre del 2024, Se avanzó en la construcción de los programas que contendrá el proyecto de fortalecimiento empresarial enfocado en la estrategia denominada Centros de Desarrollo. Se realizó la identicación de las necesidades de programas de formación y fortalecimiento empresarial a brindarse en el Centro de Desarrollo Empresarial.</t>
  </si>
  <si>
    <t xml:space="preserve">Experiencias de fortalecimiento empresarial para mercados competitivos, desarrolladas </t>
  </si>
  <si>
    <t>Fortalecimiento empresarial a las unidades productivas y microempresas de la comuna 17 de Santiago de Cali</t>
  </si>
  <si>
    <t>BP26004978</t>
  </si>
  <si>
    <t>BP2600497810101</t>
  </si>
  <si>
    <t>Unidades productivas y microempresas incluidas en el ecosistema empresarial de santiago de cali</t>
  </si>
  <si>
    <t>Asistir tecnicamente  (190) emprendedores y/o empresas en edad temprana</t>
  </si>
  <si>
    <t>Empresas asistida técnicamente</t>
  </si>
  <si>
    <t>Economía Solidaria, Colaborativa y Fondo de Oportunidades</t>
  </si>
  <si>
    <t>Personas en proceso de reincorporación, reintegración, desvinculados del conflicto armado con acompañamiento productivo para la generación de ingresos</t>
  </si>
  <si>
    <t>Fortalecimiento de estrategias para la generación de ingresos de las personas en proceso de reincorporación, reintegración, desvinculados del conflicto armado de Cali</t>
  </si>
  <si>
    <t>BP26003021</t>
  </si>
  <si>
    <t>BP2600302110101</t>
  </si>
  <si>
    <t>Personas con unidades productivas fortalecidas</t>
  </si>
  <si>
    <t>Beneficiar (15) personas con asistencia tecnica y con acompañamiento productivo y empresarial</t>
  </si>
  <si>
    <t>BP2600302110201</t>
  </si>
  <si>
    <t>Asistir tecnicamente (15) Mipymes para el acceso a nuevos mercados</t>
  </si>
  <si>
    <t xml:space="preserve">Al primer trimestre del 2024,  se realizó mesa de trabajo para el acercamiento con la Agencia para la Reincorporación y la Normalización (ARN) con el fin de coordinar las acciones para identificación de los futuros beneficiarios, según criterios de selección previstos </t>
  </si>
  <si>
    <t>Organizaciones del sector solidario fomentadas y fortalecidas en capacidades técnicas, administrativas y productivas</t>
  </si>
  <si>
    <t>Fortalecimiento para la generación de capacidades de las organizaciones del sector de economía solidaria de Cali</t>
  </si>
  <si>
    <t>BP26003032</t>
  </si>
  <si>
    <t>BP2600303210101</t>
  </si>
  <si>
    <t>Asistir (15) empresas para la formalización empresarial y de productos y/o Servicio</t>
  </si>
  <si>
    <t>Empresas asistidas técnicamente en temas de legalidad y/o formalización</t>
  </si>
  <si>
    <t>BP2600303210201</t>
  </si>
  <si>
    <t>Beneficiar (15) unidades productivas para la transferencia y/o implementación de metodologías de aumento de la productividad</t>
  </si>
  <si>
    <t>Unidades productivas  beneficiadas en la implementación de estrategias para incrementar su productividad</t>
  </si>
  <si>
    <t xml:space="preserve">Al primer timestre del 2024, se avanzó en la elaboración de propuesta de estructura de creación de una Red de Economía Colaborativa y estrategia para el fortalecimiento de la economía colaborativa de Santiago de Cali </t>
  </si>
  <si>
    <t xml:space="preserve">Unidades productivas fortalecidas con créditos solidarios </t>
  </si>
  <si>
    <t>Fortalecimiento financiero a unidades productivas con créditos solidarios y capital semilla en Santiago de Cali</t>
  </si>
  <si>
    <t>BP26003896</t>
  </si>
  <si>
    <t>Secretaría de Desarrollo Económico-Despacho</t>
  </si>
  <si>
    <t>BP2600389610101</t>
  </si>
  <si>
    <t>Emprendimientos y MiPymes fortalecidos
financieramente</t>
  </si>
  <si>
    <t>Financiar (1000) planes de negocio para la creación de empresas</t>
  </si>
  <si>
    <t>Planes de negocios financiados</t>
  </si>
  <si>
    <t>BP2600389610201</t>
  </si>
  <si>
    <t>Acompañar (1000) planes de negocio</t>
  </si>
  <si>
    <t>Planes de negocio acompañados</t>
  </si>
  <si>
    <t>Al primer trimestre del 2024, se realizaron mesas técnicas con el objetivo de establecer el plan de trabajo y alcance del Fondo Solidario y de oportunidades para la vigencia 2024. Se ha realizado seguimiento a unidades productivas que han sido fortalecidas con el programa.</t>
  </si>
  <si>
    <t>Mercados agroecológicos y campesinos realizados</t>
  </si>
  <si>
    <t>Mejoramiento comercial de los mercados campesinos con prácticas agrícolas de producción limpia de Santiago de Cali</t>
  </si>
  <si>
    <t>BP26003147</t>
  </si>
  <si>
    <t>BP2600314710101</t>
  </si>
  <si>
    <t>Beneficiar (50) unidades productivas con acompañamiento productivo y empresarial</t>
  </si>
  <si>
    <t>Unidades productivas beneficiadas</t>
  </si>
  <si>
    <t xml:space="preserve">Al primer trimestre del 2024, se elaboró el cronograma semanal de los mercados campesinos y agroecológicos que funcionan en el territorio urbano y rural, los cuales fueron difundidos en las redes sociales de la Secretaría. Se realizó reunión con representantes de los mercados campesinos, con el fin de seguir avanzando en la creación de la red de mercados campesinos y agroecológicos del Distrito de Santiago de Cali, donde se trabajó en aspectos relacionados con el alcance y características de la red. Realización de visita de seguimiento al mercado campesino ubicado en el corregimiento de Pichindé.  </t>
  </si>
  <si>
    <t>BP2600314710201</t>
  </si>
  <si>
    <t>Apoyar (5) organizaciones para la comercialización</t>
  </si>
  <si>
    <t>Organizaciones de productores formales apoyadas</t>
  </si>
  <si>
    <t>Sistema de operación de las plazas de mercado diseñado e implementado</t>
  </si>
  <si>
    <t>Fortalecimiento del sistema de operación de las plazas de mercado de Santiago de Cali</t>
  </si>
  <si>
    <t>BP26003149</t>
  </si>
  <si>
    <t>BP2600314910301</t>
  </si>
  <si>
    <t xml:space="preserve">Fortalecer las estructuras administrativas y operativas de las plazas de mercado de Santiago de Cali </t>
  </si>
  <si>
    <t>Elaborar (1) documento normativo</t>
  </si>
  <si>
    <t>Documentos normativo elaborados</t>
  </si>
  <si>
    <t>Al primer trimestre del 2024, se realizó el evento promocional de la plaza de mercado Porvenir, en coordinación con la central de abastecimiento del Valle del Cauca CAVASA, en la cual se llevaron a cabo actividades relacionadas con concurso gastronómico, muestra de emprendimientos y oferta cultural. Se realizó el primer comité de plazas de mercado, elaboración de la propuesta de plan de acción en el marco de la COP16 con el fin de incidir de manera positiva en las plazas de mercado y exaltar sus valores culturales, turísticos y gastronómicos, participación en las jornadas de trabajo de oferta institucional en los entornos de la plaza de mercado Santa Elena y realización de mesa de trabajo con la junta directiva de ASOALAMEDA, EDRU, Departamento de Planeación y SDE con el fin de revisar proyecto de infraestructura presentado al DPS para validar su continuidad.</t>
  </si>
  <si>
    <t xml:space="preserve">Ecosistema de Innovación “Cali Circular” </t>
  </si>
  <si>
    <t xml:space="preserve">Empresas y emprendimientos fortalecidos en capacidades para el fomento de la economía Circular  </t>
  </si>
  <si>
    <t>Fortalecimiento a las empresas y emprendimientos en capacidades para el fomento de la economía circular en Cali</t>
  </si>
  <si>
    <t>BP26003393</t>
  </si>
  <si>
    <t>BP2600339310101</t>
  </si>
  <si>
    <t>Empresas y emprendimientos fortalecidas en conocimientos, ideas innovadoras y experiencias de economía circular.</t>
  </si>
  <si>
    <t>Asistir tecnicamente (40) empresas para la mitigación y adaptación al cambio climático</t>
  </si>
  <si>
    <t>Empresas asistidas técnicamente para la identificación de medidas de mitigación y adaptación al cambio climático</t>
  </si>
  <si>
    <t>BP2600339310201</t>
  </si>
  <si>
    <t>Intervenir (40) empresas para el fomento de capacidades en economía circular y sostenibilidad</t>
  </si>
  <si>
    <t>Empresas intervenidas en temas de economía circular y sostenibilidad</t>
  </si>
  <si>
    <t xml:space="preserve">Al primer trimestre del 2024, se ha efectuado la evaluación de impacto de los proyectos de fomento de la Política de Economía Circular en el Distrito de Santiago de Cali, para efectuar recomendaciones y ajustes. Así mismo, se estableció el plan de trabajo y alcance de la estrategia de economía sostenible para Santiago de Cali. </t>
  </si>
  <si>
    <t>BP2600339310301</t>
  </si>
  <si>
    <t>Asistir técnicamente (40) Mipymes para el acceso a nuevos mercados</t>
  </si>
  <si>
    <t>Fortalecimiento empresarial a las unidades productivas y microempresas de la comuna 19 de Santiago de Cali</t>
  </si>
  <si>
    <t>BP26004906</t>
  </si>
  <si>
    <t>BP2600490610101</t>
  </si>
  <si>
    <t>Asistir tecnicamente (60) Mipymes para el acceso a nuevos mercados</t>
  </si>
  <si>
    <t xml:space="preserve">Líneas de servicios del Proceso Desarrollo Económico certificadas bajo la ISO 9001:2015 </t>
  </si>
  <si>
    <t>Fortalecimiento de los sistemas de gestión de la Secretaría de Desarrollo Económico de Santiago de Cali</t>
  </si>
  <si>
    <t>BP26002915</t>
  </si>
  <si>
    <t>BP2600291510101</t>
  </si>
  <si>
    <t>Requisitos establecidos en el Sistema de Gestión de Calidad implementados, bajo la norma ISO 9001:2015</t>
  </si>
  <si>
    <t>Implementar (1) sistema de Gestión</t>
  </si>
  <si>
    <t xml:space="preserve">Al primer trimestre, Se realizó revisión y/o ajuste de los procesos y procedimientos los cuales soportan la operación de la Secretaría de Desarrollo Económico, adicionalmente se revisó la implementación de la Norma NTC ISO 9001:2015 que permita mantener la certificación de las líneas de servicio otorgada por el ICONTEC. En el marco de la implementación del sistema de gestión, se llevaron a cabo los procesos de planeación, presupuesto participativo, comunicaciones y apoyo a la gestión que permitió mantener la operatividad del sistema. </t>
  </si>
  <si>
    <t>BP2600291510201</t>
  </si>
  <si>
    <t>Implementar (1) sistema de gestión documental</t>
  </si>
  <si>
    <t xml:space="preserve">Investigaciones sobre economía creativa, circular, digital y demás temas conexos al desarrollo del territorio, generadas y publicadas  </t>
  </si>
  <si>
    <t>Investigación sobre los sectores económicos priorizados y temas conexos en la política pública de desarrollo económico en Santiago de Cali</t>
  </si>
  <si>
    <t>BP26002965</t>
  </si>
  <si>
    <t>BP2600296510101</t>
  </si>
  <si>
    <t>Investigaciones sobre economía creativa,
circular, digital y demás temas conexos al
desarrollo del territorio, generadas y
publicadas</t>
  </si>
  <si>
    <t>Elaborar (2) documento de investigación</t>
  </si>
  <si>
    <t>Al primer trimestre del 2024, sSe presentó avance en la definición de insumos y actores necesarios para la metodología del primer documento de investigación sobre visión de desarrollo económico del territorio. Se establecieron temáticas a abordar en las dos investigaciones buscando alinearse con indicadores de la Política Pública de Desarrollo Económico.</t>
  </si>
  <si>
    <t>BP2600296510201</t>
  </si>
  <si>
    <t>Elaborar (2) documento de planeación</t>
  </si>
  <si>
    <t xml:space="preserve">Al primer trimestre del 2024, Se conformaron bases de datos de contacto de los actores estratégicos. Se estableció plan de trabajo como parte de la estrategia de fortalecer y consolidar al CADEC. Se avanzó en las acciones para el seguimiento y reporte de avance del Plan de Acción de la Política Pública de Desarrollo Económico de Santiago de Cali. </t>
  </si>
  <si>
    <t>Avance fisico</t>
  </si>
  <si>
    <t>Proyectos con ejecucion 0%</t>
  </si>
  <si>
    <t>Red de puntos información turística operando</t>
  </si>
  <si>
    <t>Fortalecimiento de la operación de los Puntos de Información Turística de Santiago de Cali</t>
  </si>
  <si>
    <t>BP26004750</t>
  </si>
  <si>
    <t>Actualmente se cuenta con 3 puntos de información turística operando (centro cultural, san Antonio, casa turística) y 3 puntos itinerantes, en los que se ha brindado información turística a 1.061 turistas en el 1er tirmestre del 2024.. Se realizaron recorridos y atención a delegados. Así mismo se generó la programación de las actividades a realizar en el 2024 mediante el plan de trabajo y cronograma. Se realizaron durante la semana santa 4 recorridos de ruta religiosa, cultural y patrimonial con más de 180 participantes.</t>
  </si>
  <si>
    <t xml:space="preserve">Secretaría de Turismo </t>
  </si>
  <si>
    <t>BP2600475010101</t>
  </si>
  <si>
    <t>Red de puntos de informacion turistica operando</t>
  </si>
  <si>
    <t xml:space="preserve">Portales integrados </t>
  </si>
  <si>
    <t>Marca de ciudad para un Distrito Especial</t>
  </si>
  <si>
    <t>Parques de experiencia turística diseñados e implementados</t>
  </si>
  <si>
    <t xml:space="preserve">Apoyo para la consolidación de parques de experiencia en Santiago de Cali </t>
  </si>
  <si>
    <t>BP26004326</t>
  </si>
  <si>
    <t>BP2600432610101</t>
  </si>
  <si>
    <t xml:space="preserve">Parques de experiencia turística diseñados e implementados </t>
  </si>
  <si>
    <t>Estudios de pre inversión</t>
  </si>
  <si>
    <t xml:space="preserve">Estudios de pre inversión realizados </t>
  </si>
  <si>
    <t>BP2600432610102</t>
  </si>
  <si>
    <t>Servicio de apoyo financiero para la competitividad turística</t>
  </si>
  <si>
    <t>Proyectos cofinanciados para la adecuación de la oferta turística</t>
  </si>
  <si>
    <t>Productos Turísticos Desarrollados</t>
  </si>
  <si>
    <t xml:space="preserve">Desarrollo del potencial turístico en el Barrio Obrero de Santiago de Cali </t>
  </si>
  <si>
    <t>BP26004740</t>
  </si>
  <si>
    <t xml:space="preserve">Se realizaron diseños de fichas turísticas, jornadas de transferencia de conocimiento, planificación de la Red Nacional de Destinos Turísticos, viabilidad de proyectos con FONTUR, reuniones de programas nacionales en turismo, acompañamiento a eventos y divulgación de planes sectoriales. Inicia el desarrollo del documento técnico con los productos turísticos definidos para fortalecer con avances importantes tales como: Producto Turismo Naturaleza (Se realizó encuentro entre actores del ecosistema de turismo de naturaleza y Jordi Treserras en el mariposario Andoke). Producto Turismo Salud (Se realizó alianza con clínica Imbanaco para la participación de la Secretaría de Turismo en el Simposio Internacional de Seguridad del Paciente). Producto Turismo Deportivo (Se realizó acercamiento con la Secretaría de Deporte para el fortalecimiento y promoción del turismo deportivo en la ciudad). Producto Turismo Cultural (Se realizó taller-conversatorio con el experto internacional Jordi Treserras y el ecosistema cultural y turístico de Cali) </t>
  </si>
  <si>
    <t>BP2600474010101</t>
  </si>
  <si>
    <t>Documentos de lineamientos técnicos</t>
  </si>
  <si>
    <t xml:space="preserve">Iniciativas de "Turismo al barrio" y turismo comunitario rural apoyadas </t>
  </si>
  <si>
    <t xml:space="preserve">Implementación de la estrategia de turismo al barrio en la comuna 1 de Santiago de Cali </t>
  </si>
  <si>
    <t>BP26004830</t>
  </si>
  <si>
    <t>BP2600483010101</t>
  </si>
  <si>
    <t xml:space="preserve">Iniciativas de "Turismo al barrio" y turismo Comunitario rural apoyadas </t>
  </si>
  <si>
    <t>Fortalecimiento turístico del Corregimiento de Villacarmelo de Santiago de Cali.</t>
  </si>
  <si>
    <t xml:space="preserve">BP26004831 </t>
  </si>
  <si>
    <t>BP2600483110101</t>
  </si>
  <si>
    <t>Fortalecimiento turístico del Corregimiento de Pichindé de Santiago de Cali</t>
  </si>
  <si>
    <t>BP26004832</t>
  </si>
  <si>
    <t>BP2600483210101</t>
  </si>
  <si>
    <t>Eventos y/o ferias del sector turístico apoyados</t>
  </si>
  <si>
    <t xml:space="preserve">Apoyo para el desarrollo de ferias y eventos con componentes turísticos en Santiago de Cali </t>
  </si>
  <si>
    <t>BP26004324</t>
  </si>
  <si>
    <t>BP2600432410101</t>
  </si>
  <si>
    <t xml:space="preserve">Realizar 3 campañas de promocion para eventos y/o ferias del sector </t>
  </si>
  <si>
    <t>Campañas realilzadas</t>
  </si>
  <si>
    <t xml:space="preserve">Se realizó el evento del barrio obrero donde se visibilizó la oferta turística con la participación de 250 personas. Se apoyó el seminario de información turística en articulación con Uniminuto, se han apoyado eventos como VetLatam, Feria de aves, ANATO, recorridos turísticos, se realizó con éxito durante la semana Santa el evento “Camino de la Luz”. Se actualizó y estableció el tarifario logístico para el año 2024 
</t>
  </si>
  <si>
    <t xml:space="preserve">Plan de medios, nacional e internacional implementado </t>
  </si>
  <si>
    <t xml:space="preserve">Divulgación en medios de comunicación de la oferta turística de Santiago de Cali </t>
  </si>
  <si>
    <t>BP26004152</t>
  </si>
  <si>
    <t>BP2600415210101</t>
  </si>
  <si>
    <t>Realizar 4 campañas de Plan de medios de promoción turística</t>
  </si>
  <si>
    <t>Campañas Realizadas</t>
  </si>
  <si>
    <t xml:space="preserve">Se realizó la participación en "FITUR" para promover el turismo hacia la ciudad de Cali, se llevó a cabo agenda con personalidades relevantes del turismo articulando alianzas  para dinamizar el destino turístico. Se llevó a cabo la estrategia de misión comercial con la participación de la vitrina Turística de "ANATO” la cual permitió promocionar a Cali como destino turístico y su oferta, a nivel nacional e internacional. Visitantes en stand: 753; Citas de negocios: 687. Se realiza el cubrimiento de los eventos de la Secretaría de Turismo tales como: Barrio Obrero, Semana santa, Simposio de Salud. Se elaboraron 9 boletines de prensa. Se realizó una ronda de medios de comunicación, visitando los siguientes medios:RCN RADIO CALIDAD, RCN RADIO CALI, La X F.M. y El País. Se realizó el registro fotográfico de actividades de la Secretaría, Se realizó vídeo para presentación del informe de gestión en el consejo de Gobierno de la Alcaldía de Cali. Se realizaron 39 piezas gráficas para las actividades internas y externas de la Secretaría. Se resalta el incremento de impactos y seguidores de las redes sociales de la Secretraría  Facebook: Hubo un incremento del 565,2 % en el alcance de la publicaciones en el página logrando un total de 497.964 de impacto orgánico. Instagram: Hubo un incremento del 343,3 % en el alcance del perfil , logrando un total de 732,631 de impacto orgánico. </t>
  </si>
  <si>
    <t xml:space="preserve">Programa de incentivos y estímulos del sector turístico implementado </t>
  </si>
  <si>
    <t xml:space="preserve">Implementación de un programa de apoyo al sector turístico de Cali
</t>
  </si>
  <si>
    <t>BP-26004742</t>
  </si>
  <si>
    <t>BP2600474210101</t>
  </si>
  <si>
    <t>Implementar 1 servicio de asistencia técnica y acompañamiento productivo y empresarial</t>
  </si>
  <si>
    <t xml:space="preserve">Se ha realizado el apoyo al programa de capacitación y fortalecimiento de proveedores y prestadores de servicios turísticos con el objetivo mejorar la competitividad de los mismos. Se han diseñado e implementado estrategias para el fortalecimiento de la competitividad de los prestadores de Servicios turísticos. Se articuló convocatoria para curso de formación en bilingüismo de prestadores de servicios turísticos, con cupo de 60 personas, curso con enfoque de turismo de naturaleza y con énfasis en el sector comercial. Se apoya el fortalecimiento de proveedores y prestadores de servicios turísticos. Se ha brindado asistencia técnica a 21 microempresarios en formalización y RNT. 
</t>
  </si>
  <si>
    <t>Secretaria de Turismo</t>
  </si>
  <si>
    <t>BP2600474210102</t>
  </si>
  <si>
    <t>Implementar 1 servicio de educación informal en asuntos turísticos</t>
  </si>
  <si>
    <t xml:space="preserve">Estudios del sector turismo, realizados  </t>
  </si>
  <si>
    <t xml:space="preserve">Desarrollar un sistema de información del sector turístico en Santiago de Cali	</t>
  </si>
  <si>
    <t>BP-26004760</t>
  </si>
  <si>
    <t>BP2600476010101</t>
  </si>
  <si>
    <t>Elaborar 2 documentos de investigación sobre turismo</t>
  </si>
  <si>
    <t>Documentos sobre medición y análisis de información turística realizados</t>
  </si>
  <si>
    <t xml:space="preserve">Se realizó actualización de información al monitoreo cuantitativo y cualitativo permanente sobre la oferta y la demanda de los principales indicadores de turismo de Cali, del año 2023 y ene_feb_mar de 2024, con su respectivo análisis de comportamiento con los mismos periodos anteriores. Se apoyó  la realización del análisis de la encuesta diagnóstica y exploratoria de rutas turísticas de Cali. </t>
  </si>
  <si>
    <t>Proyectos con ejecución fisica en 0%</t>
  </si>
  <si>
    <t>Apoyar la dinamización de la economía del sector turístico de Santiago de Cali</t>
  </si>
  <si>
    <t>Intervenciones (mantenimiento correctivo y preventivo) realizadas a sedes comunales, salones comunales, Casetas Comunales</t>
  </si>
  <si>
    <t xml:space="preserve">Mantenimiento  prevencitivo y correctivo a las sedes comunales en Santiago de Cali. </t>
  </si>
  <si>
    <t>BP26003720</t>
  </si>
  <si>
    <t>SDTPC - Subsecretaría de Promoción y Fortalecimiento de la Participación</t>
  </si>
  <si>
    <t>BP2600372020101</t>
  </si>
  <si>
    <t>Realizar mantenimiento a 5 sedes comunales</t>
  </si>
  <si>
    <t>BP2600372020201</t>
  </si>
  <si>
    <t>Elaborar 1 documento técnico de inspección, seguimiento y control a las intervenciones realizadas en sedes comunales de la ciudad</t>
  </si>
  <si>
    <t>Se avanzó en el 3,6% del documento de Lineamientos técnicos de acuerdo a la ponderación del producto. El cual se encuentra relacionado con: las actividades, visitas diagnosticas a las (5) sedes.</t>
  </si>
  <si>
    <t>Intervenciones (mantenimiento correctivo, preventivo y dotación) realizadas a Centros de Administración Local Integrada</t>
  </si>
  <si>
    <t>Mantenimiento correctivo, preventivo y dotación a los Centros de Administración Local Integrada de Santiago de Cali</t>
  </si>
  <si>
    <t>BP26003721</t>
  </si>
  <si>
    <t>BP2600372120101</t>
  </si>
  <si>
    <t>Realizar mantenimiento y/o dotación a 8  Centros de Administración Local Integrada (C.A.L.I.)</t>
  </si>
  <si>
    <t>Elaborar 1 documento técnico (inspección, seguimiento y control a las intervenciones realizadas).</t>
  </si>
  <si>
    <t>Mantenimiento Correctivo, Preventivo Y Dotacion Del Centro De Administracion Local Integrada De La Comuna 3 De Santiago De Cali</t>
  </si>
  <si>
    <t>BP26004812</t>
  </si>
  <si>
    <t>BP2600481220101</t>
  </si>
  <si>
    <t>Mejorar espacios físicos para el ejercicio de la la participación ciudadana de la Comuna 3</t>
  </si>
  <si>
    <t>Semilleros itinerantes de desarrollo distrital participativo, realizados</t>
  </si>
  <si>
    <t>Desarrollo de semilleros itinerantes de desarrollo distrital participativo en Cali</t>
  </si>
  <si>
    <t>BP26004313</t>
  </si>
  <si>
    <t>SDTPC - Subsecretaría de Territorios de Inclusión y Oportunidades (TIO)</t>
  </si>
  <si>
    <t>BP2600431320102</t>
  </si>
  <si>
    <t xml:space="preserve">
Diseñar  un 1 documento  de planeación (Desarrollo de metodologia para la caracterización de los territorios priorizados)</t>
  </si>
  <si>
    <t>Documentos planeación realizados</t>
  </si>
  <si>
    <t xml:space="preserve">Se avanzó en el desarrollo de  un documento preliminar que incluye los antecedentes y los elementos conceptuales de la estrategia TIO. </t>
  </si>
  <si>
    <t>BP2600431320101</t>
  </si>
  <si>
    <t xml:space="preserve">
Diseñar  un 1 documento metodologíco  (Diseño de acciones metodologicas para la caracterización de territorios priorizados)</t>
  </si>
  <si>
    <t>Documentos metodologico realizados</t>
  </si>
  <si>
    <t>Se  avanzó en la creación del formato de mapeo de actores y la ficha de caracterización de territorios, los cuales son el principal insumo para la elaboración del documento metodológico. Estos fueron socializados con los enlaces territoriales, quienes van a diligenciar las fichas a partir de abril</t>
  </si>
  <si>
    <t>BP2600431320201</t>
  </si>
  <si>
    <t>Promover 5 espacios de participación ciudadana en la formulación de acciones que reduzcan las necesidades insatisfechas en los territorios</t>
  </si>
  <si>
    <t xml:space="preserve">Se promovieron dos (2) espacios de participación ciudadana: Uno de ellos en el corregimiento de Montebello y otro en el barrio Polvorines, en los cuales se llevó a cabo un proceso de intervención para mejorar las condiciones de vida de la población. Lo anterior, en el marco de un plan de trabajo.  </t>
  </si>
  <si>
    <t>BP2600431320301</t>
  </si>
  <si>
    <t>Generar 4 espacios de inclusión ciudadana en los territorios en el marco de la implementación de Cali Distrito Especial</t>
  </si>
  <si>
    <t>Se generó un (1) espacio de integración de la oferta pública denominado "RECONOCER FEST", el cual tuvo lugar el 10 de marzo en el barrio Potrero Grande. La Subsecretaría TIO se articuló con la Fundación BOCHINCHE y brindó  acompañamiento durante la jornada, en la cual se realizaron actividades para promover la paz y la sana convivencia en el territorio, acercando la oferta pública y garantizando cobertura para acceder a los servicios dispuestos por la Alcaldía.</t>
  </si>
  <si>
    <t>Proceso de participación ciudadana y gestión comunitaria certificado</t>
  </si>
  <si>
    <t>Fortalecimiento de la planificación estratégica del Proceso de Participación Ciudadana y gestión comunitaria en Santiago de Cali</t>
  </si>
  <si>
    <t>BP26004311</t>
  </si>
  <si>
    <t>SDTPC - Unidad de Apoyo a la Gestión</t>
  </si>
  <si>
    <t>BP2600431120101</t>
  </si>
  <si>
    <t>Diseñar un 1 documento de planeación</t>
  </si>
  <si>
    <t xml:space="preserve">Se avanzó en el 12,5% del documento, mediante acciones de coordinación y planeación de reuniones para definir indicadores del PD. Seguimiento de políticas públicas, modificaciones presupuestales. Mejora continua de procesos mediante entrenamiento y análisis para fortalecer la gestión. </t>
  </si>
  <si>
    <t>BP2600431120201</t>
  </si>
  <si>
    <t>Brindar asistencia técnica en la implementación del SGC (acciones de mejora enmarcadas a los resultados de auditorías y seguimiento al Plan Anticorrupción y de Atención al Ciudadano)</t>
  </si>
  <si>
    <t>Se avanzó en el 12,5%  de la entidad tecnicamente asistida, a tráves del seguimiento a políticas operativas y puntos de control, asegurando alineación con objetivos estratégicos. Monitoreo del mapa de riesgos y análisis de salidas no conformes para mejorar procesos y seguimiento de indicadores clave</t>
  </si>
  <si>
    <t>Puntos de atención con cultura del servicio orientado al ciudadano, operando</t>
  </si>
  <si>
    <t>Fortalecimiento de los canales y puntos de atención al ciudadano de la Secretaría de Desarrollo Territorial y Participación Ciudadana de Santiago de Cali</t>
  </si>
  <si>
    <t>BP26002755</t>
  </si>
  <si>
    <t>BP2600275510101</t>
  </si>
  <si>
    <t xml:space="preserve">Actualizar un (1) Sistema de Información </t>
  </si>
  <si>
    <t>Se atendieron 125.559 usuarios en los puntos:Oficina de Atención al Ciudadano, portal web, correo electrónico y la línea telefónica, brindando atención de calidad según lo establece el proceso de atención al usuario, lo que corresponde al 17,5% de avance fisico del sistema de informacion actualizado</t>
  </si>
  <si>
    <t>BP2600275510201</t>
  </si>
  <si>
    <t xml:space="preserve">Dotar 23 oficinas para la atención y orientación ciudadana. </t>
  </si>
  <si>
    <t>Oficinas para la atención y orientación ciudadana dotadas</t>
  </si>
  <si>
    <t>Sistema de participación ciudadana, funcionando</t>
  </si>
  <si>
    <t>Apoyo al sistema de participación ciudadana en Santiago de Cali</t>
  </si>
  <si>
    <t>BP26003724</t>
  </si>
  <si>
    <t>BP2600372410101</t>
  </si>
  <si>
    <t>Promover 37 espacios de participación y empoderamiento lo los actores del Sistema de Participación Ciudadana (10% de 2 actividades realizadas)</t>
  </si>
  <si>
    <t>Se promovieron 10 espacios de participación  con los actores del sistema: 4 en planeación participativa formulación de PDCC pasos 3,4,5 y 6
3 en espacios participativos: Tu voz cuenta, solic. x comunidad y feria de servicio, 3 en control social: alistamiento, mesas de trabajo y encuentros de aprendizaje</t>
  </si>
  <si>
    <t>BP2600372410201</t>
  </si>
  <si>
    <t>Brindar asistencia técnica a las 19 entidades 
(10% de 2 actividades realizadas)</t>
  </si>
  <si>
    <t xml:space="preserve">Se avanzó en el 6,25% de acuerdo a la ponderación del producto, en relación a las actividades de planificación, donde se emitieron lineamientos, se realizaron 2 jornadas de capacitación a organismos y 1 jornada de orientación, dudas e inquietudes a organismos. </t>
  </si>
  <si>
    <t>BP2600372410301</t>
  </si>
  <si>
    <t>Realizar 1 documento investigación 
 (5% de 1 actividad realizada)
(10% de 2 actividades realizadas)</t>
  </si>
  <si>
    <t>Avance del 6,25% del documento de investigación con la incorporación de la identificación de los actores, y la incoporación de la participación del grupo poblacional juventud.</t>
  </si>
  <si>
    <t>Organismos comunales en el territorio Inspeccionados, Vigilados y Controlados en cumplimiento de la norma comunal</t>
  </si>
  <si>
    <t>Aplicación de herramientas y asistencia técnica para el cumplimiento de la normatividad comunal en Santiago de Cali</t>
  </si>
  <si>
    <t>BP26002602</t>
  </si>
  <si>
    <t>BP2600260210101</t>
  </si>
  <si>
    <t>Promover  524 organizaciones comunales</t>
  </si>
  <si>
    <t xml:space="preserve">Se promovieron espacios de participación mediante la atención a 93 organismos comunales, para el  cumplimiento de la norma comunal. </t>
  </si>
  <si>
    <t>BP2600260210201</t>
  </si>
  <si>
    <t>Capacitar a 3162 integrantes de las organizaciones comunales en el cumplimiento de la normatividad comunal</t>
  </si>
  <si>
    <t>Se capacitaron a 651 personas mediante soporte técnico pertenecientes a juntas de acción comunal, especialmente en lo relacionado a reforma estatutaria y capacitación en Ley 2166 de 2021.</t>
  </si>
  <si>
    <t xml:space="preserve">Estrategia para el fomento y promoción del derecho a la libertad religiosa y la participación ciudadana, realizada </t>
  </si>
  <si>
    <t>Apoyo al fomento a la promoción del derecho a la libertad religiosa participativa en Santiago de Cali</t>
  </si>
  <si>
    <t>BP26002948</t>
  </si>
  <si>
    <t>BP2600294810201</t>
  </si>
  <si>
    <t>Estrategia para el fomento y promoción del derecho a la libertad religiosa y la participación ciudadana, realizada</t>
  </si>
  <si>
    <t>Capacitar 500 personas sobre el derecho a la libertad religiosa en el marco de la participación ciudadana</t>
  </si>
  <si>
    <t>Se capacitaron 112 personas  a través de (2) jornadas de capacitación en Ley 133 de 1994, lo cual dio inicio a la estrategia de fomento</t>
  </si>
  <si>
    <t>Cali Gobierno Incluyente</t>
  </si>
  <si>
    <t>Inventario de Bienes Inmuebles actualizado</t>
  </si>
  <si>
    <t>Fortalecimiento del inventario de los Bienes Inmuebles de Santiago de Cali</t>
  </si>
  <si>
    <t>BP26002563</t>
  </si>
  <si>
    <t>BP2600256310101</t>
  </si>
  <si>
    <t>Inventario de Bienes Inmuebles Actualizado</t>
  </si>
  <si>
    <t>Actualizar la información del 14% de inmuebles registrados en el inventario bienes inmuebles  propiedad de Santiago de Cali</t>
  </si>
  <si>
    <t>Sistema de información catastral actualizado (Inventario de bienes inmuebles)</t>
  </si>
  <si>
    <t>Proyectos sin ejecución a la fecha</t>
  </si>
  <si>
    <t>Unidad Administrativa Especial de Gestión de Bienes y Servicios</t>
  </si>
  <si>
    <t>BP2600256310201</t>
  </si>
  <si>
    <t>Incrementar espacio fisico-zonas verdes de Santiago de Cali establecida por el plan de ordenamiento territorial (POT). Con la adquisicon de 1 predio</t>
  </si>
  <si>
    <t>Documentos de estudios tecnicos realizados (Espacio fisico de zonas verdes incrementado)</t>
  </si>
  <si>
    <t>BP2600256310301</t>
  </si>
  <si>
    <t>Obtener (94) avaluos entre comerciales, de renta y de reconstrucción a nuevo de los Bienes Inmuebles propiedad de Santiago de Cali</t>
  </si>
  <si>
    <t>Edificaciones de propiedad del distrito mantenidas</t>
  </si>
  <si>
    <t>Conservación de las edificaciones de propiedad del Municipio de Santiago de Cali</t>
  </si>
  <si>
    <t>BP26002642</t>
  </si>
  <si>
    <t>BP2600264210101</t>
  </si>
  <si>
    <t xml:space="preserve">Identificar las condiciones tecnicas de mejoramiento de la infraestructura fisica de los bienes inmuebles propiedad de la Alcaldía de Santiago de Cali de  Interes Cultural e institucionales. </t>
  </si>
  <si>
    <t xml:space="preserve">Estudios de Preinversion </t>
  </si>
  <si>
    <t>BP2600264210201</t>
  </si>
  <si>
    <t xml:space="preserve">Mantener en optimas condiciones la infraestructura fisica del Concejo Distrital propiedad de la Alcaldia de Santiago de Cali. </t>
  </si>
  <si>
    <t>Plan Estratégico de Seguridad vial fortalecido</t>
  </si>
  <si>
    <t>Fortalecimiento en la implementación de la Metodología del Plan Estratégico de Seguridad Vial en la Alcaldía de Santiago de Cali</t>
  </si>
  <si>
    <t>BP26004710</t>
  </si>
  <si>
    <t>BP2600471010101</t>
  </si>
  <si>
    <t>Plan Estrategico de Seguridad Vial Fortalecido</t>
  </si>
  <si>
    <t>Aplicar 120 pruebas psicosensometricas y realizar 1000 capacitaciones a funcionario de la alcadia santiago de cali</t>
  </si>
  <si>
    <t>Personas sensibilizadas (Capacitaciones y pruebas psicosensometricas aplicadas)</t>
  </si>
  <si>
    <t>BP2600471010201</t>
  </si>
  <si>
    <t>Elaborar 1 documento de lineamientos que detalle la necesidad de adquirir los kits de carretera</t>
  </si>
  <si>
    <t>BP2600471010301</t>
  </si>
  <si>
    <t>Realizar adecuaciones locativas en el parqueadero del Cam, para la reduccion de riesgo</t>
  </si>
  <si>
    <t>Obras para la reducción del riesgo construidas</t>
  </si>
  <si>
    <t>51010010011</t>
  </si>
  <si>
    <t xml:space="preserve">Alumbrado público inteligente implementado </t>
  </si>
  <si>
    <t xml:space="preserve">Renovación del sistema de Alumbrado Público de Santiago de  Cali
</t>
  </si>
  <si>
    <t>BP26002614</t>
  </si>
  <si>
    <t>Unidad Administrativa Especial de Servicios Pùblicos</t>
  </si>
  <si>
    <t>BP2600261410101</t>
  </si>
  <si>
    <t>Cambiar 16.361luminiarias a nuevas tecnologias</t>
  </si>
  <si>
    <t>Redes de alumbrado público mejoradas</t>
  </si>
  <si>
    <t>Al corte de 29 de Febrero se realizo los pagos de expansion de los periodos de Octubre y Noviembre de 2023 por valor de $ 3,037,117,224. Se continua  en avance en la instalación de las luminarias en este periodo,y se encuentra en tramite los pagos de las facturas de  Diciembre 2023  y Enero  2024, segun actas de conciliacion 1 y 2.</t>
  </si>
  <si>
    <t>BP2600261410201</t>
  </si>
  <si>
    <t>Elaborar 6 documentos de lineamientos técnicos de la renovación del alumbrado público</t>
  </si>
  <si>
    <t>Al corte del 29 de Marzo, se apoyó en cada una de las actividades correspondientes  a la supervision administrativa, en el alcance al apoyo administrativo para el Alumbrado Público, en el cual desarrolla las actividades de supervisión al Convenio Interadministrativo suscrito entre el Distrito de Santiago de Cali y las Empresas Municipales de Cali - EMCALI EICE ESP, para la prestación del Servicio de Alumbrado Público, con el fin de asegurar su correcta ejecución y cumplimiento de los términos establecidos en las normas vigentes sobre y en las cláusulas estipuladas en el Convenio.</t>
  </si>
  <si>
    <t>51010010015</t>
  </si>
  <si>
    <t>Servicio de alumbrado público inteligente operando</t>
  </si>
  <si>
    <t xml:space="preserve">Fortalecimiento de la Operación del Servicio de Alumbrado Público de Santiago de Cali
</t>
  </si>
  <si>
    <t>BP26002616</t>
  </si>
  <si>
    <t>BP2600261610101</t>
  </si>
  <si>
    <t>Servicio de alumbrado publico inteligente operando</t>
  </si>
  <si>
    <t>Operar el servicio de Alumbrado Público inteligente</t>
  </si>
  <si>
    <t>Documentos metodológicos eleaborados</t>
  </si>
  <si>
    <t>Con corte a  Marzo  2024, está en ejecución del documento. Sin embargo,  se ha pagado la factura correspondiente al mes de enero de 2024, mediante Resolución de pago No.4182.010.21.0.17-2024, por valor de $6.637.092.727.</t>
  </si>
  <si>
    <t>BP2600261610201</t>
  </si>
  <si>
    <t>Elaborar 8 documentos de lineamientos técnicos del fortalecimiento del alumbrado público</t>
  </si>
  <si>
    <t>Documentos de lineamientos técnicos realizados</t>
  </si>
  <si>
    <t>Con corte al Mes de Marzo  2024, se encuentran en  ejecución estos documentos. No obstante,  se realizo la planificación integral en  cada una de las actividadades   de cada documento de lineamientos tecnicos en la parte tecnica, financiera, administrativa y juridica para su ejecucion.</t>
  </si>
  <si>
    <t>Espectáculos anuales visuales y luminosos de Alumbrado navideño</t>
  </si>
  <si>
    <t>Implementación del Espectáculo visual y luminoso de Alumbrado Navideño en Santiago de Cali</t>
  </si>
  <si>
    <t>BP26002617</t>
  </si>
  <si>
    <t>BP2600261710101</t>
  </si>
  <si>
    <t>Espectáculos anuales visuales y luminosos de Alumbrado navideño</t>
  </si>
  <si>
    <t xml:space="preserve">Desarrollar un espectáculo de gran impacto y cobertura durante la época decembrina </t>
  </si>
  <si>
    <t>Eventos de promoción de actividades culturales realizados</t>
  </si>
  <si>
    <t>BP2600261710201</t>
  </si>
  <si>
    <t>Elaborar 4 documentos de lineamientos técnicos de Alumbrado Navideño</t>
  </si>
  <si>
    <t>52030090002</t>
  </si>
  <si>
    <t xml:space="preserve">Infraestructura de Agua Potable en la zona rural construidas </t>
  </si>
  <si>
    <t>Ampliación de la infraestructura de los sistemas de abastecimiento de agua potable en zona rural de Santiago de Cali</t>
  </si>
  <si>
    <t>BP26004797</t>
  </si>
  <si>
    <t>BP2600479710101</t>
  </si>
  <si>
    <t xml:space="preserve">Realizar 5 Estudios o Diseños   </t>
  </si>
  <si>
    <t>Estudios o Diseños realizados</t>
  </si>
  <si>
    <t>BP2600479710201</t>
  </si>
  <si>
    <t>Infraestructuras de Agua Potable en la zona rural construidas</t>
  </si>
  <si>
    <t>Construir 1 acueducto</t>
  </si>
  <si>
    <t>Acueductos construidos</t>
  </si>
  <si>
    <t>Con corte a Marzo no se cuenta con un avance físico, dado que está en proceso de elaboración de documentación precontractual para: A) construcción de la PTAP El Faro, Corregimiento Los Andes; B) construcción de la red de acueducto El Faro, Corregimiento Los Andes; C) Construcción de la PTAP sector El Peón, Corregimiento Pance; D)  construcción tanque de abastecimiento Piamonte, Corregimiento Montebello; E) Construcción de la Red de Acueducto sector El Peón, Corregimiento de Pance.</t>
  </si>
  <si>
    <t xml:space="preserve">Sistemas de Agua Potable en la zona rural mejorados en infraestructura </t>
  </si>
  <si>
    <t>Mejoramiento de la infraestructura de agua potable en la zona rural de Santiago de Calii</t>
  </si>
  <si>
    <t>BP26004799</t>
  </si>
  <si>
    <t xml:space="preserve">Unidad Administrativa Especial de Servicios Pùblicos
</t>
  </si>
  <si>
    <t>BP2600479910101</t>
  </si>
  <si>
    <t xml:space="preserve">Realizar 3 Estudios o Diseños </t>
  </si>
  <si>
    <t>BP2600479910201</t>
  </si>
  <si>
    <t>Sistemas de Agua Potable en la zona rural mejorados en infraestructura</t>
  </si>
  <si>
    <t xml:space="preserve">Optimizar 6 acueductos </t>
  </si>
  <si>
    <t>Acueductos optimizados</t>
  </si>
  <si>
    <t>Beneficiarios del subsidio del déficit de a las empresas de servicios públicos de acueducto alcantarillado y aseo de los estratos 1, 2 y 3 del fondo de solidaridad y redistribución de ingreso</t>
  </si>
  <si>
    <t xml:space="preserve">Subsidio de servicios públicos domiciliarios para los estratos 1, 2 y 3 en Santiago de Cali										
										</t>
  </si>
  <si>
    <t>BP26002534</t>
  </si>
  <si>
    <t>BP2600253410101</t>
  </si>
  <si>
    <t>Beneficiar 462.205 suscriptores del subsidio de  servicios públicos de acueducto alcantarillado y aseo de los estratos 1, 2 y 3..</t>
  </si>
  <si>
    <t>Usuarios beneficiados con subsidios al consumo</t>
  </si>
  <si>
    <t>Con corte a marzo no se tiene avance fisico debido a que se reporta que las empresas prestadoras de servicios públicos no han presentado aún las cuentas de cobro con los reportes de los subsidios otorgados para la vigencia 2024.</t>
  </si>
  <si>
    <t>Beneficiarios del programa de mínimo vital de agua potable</t>
  </si>
  <si>
    <t>Aplicación del programa mínimo vital de agua potable para los estratos 1 y 2 de Santiago De Cali</t>
  </si>
  <si>
    <t>BP26002535</t>
  </si>
  <si>
    <t>BP2600253510101</t>
  </si>
  <si>
    <t>Beneficiar 266.426 suscriptores del programana del mínimo vital de agua potable</t>
  </si>
  <si>
    <t>Con corte a Marzo, no se tiene avance fisico debido a que esta pendiente la  información  suministrada  por parte de Emcali, que corresponde a  la espera del informe de los subsidios otorgados para el año 2024 y la  respectiva  verificación  por  parte de la entidad.</t>
  </si>
  <si>
    <t>Redes de alcantarillado en el área de prestación de servicio de EMCALI intervenidas</t>
  </si>
  <si>
    <t>Optimización de la red secundaria de alcantarillado en el barrio San Luis de Santiago de Cali</t>
  </si>
  <si>
    <t>BP26001001</t>
  </si>
  <si>
    <t>BP2600100110101</t>
  </si>
  <si>
    <t>Optimizar 6.527 metros lineales de alcantarillado en el barrio San Luis (1 alcatarillado optimizado)</t>
  </si>
  <si>
    <t>Alcantarillado Optimizado</t>
  </si>
  <si>
    <t>Con corte a Marzo no se tiene avance fisico debido a que El  Concejo de Santiago de Cali aprobó las vigencias futuras mediante Acuerdo 0569 de 2023, el cual fue demandado y dejó sin validez las vigencias futuras aprobadas, por lo que en esta vigencia 2024, se hace necesario nuevamente el trámite de vigencias futuras. 
A la fecha se está a la espera de la aprobacion del Plan de Desarrollo para iniciar los trámites necesarios a la solicitud de aprobación de vigencias futuras para este proyecto.</t>
  </si>
  <si>
    <t>Redes de Acueducto en el área de prestación de servicio de Emcali intervenidas</t>
  </si>
  <si>
    <t>Optimización de redes secundarias de acueducto barrios Puerto Mallarino, Simón Bolivar, El Lido, Colseguros Y Saavedra Galindo Del Municipio De Santiago De Cali</t>
  </si>
  <si>
    <t>BP26000792</t>
  </si>
  <si>
    <t>BP2600079210101</t>
  </si>
  <si>
    <t>Optimizar 5  de redes secundarias de acueducto barrios Puerto Mallarino, Simón Bolivar, El Lido, Colseguros Y Saavedra Galindo Del Municipio De Santiago) De Cali</t>
  </si>
  <si>
    <t xml:space="preserve">Acueductos Optimizados </t>
  </si>
  <si>
    <t xml:space="preserve">Optimización redes de acueducto en los barrios san luis y san carlos de santiago de cali </t>
  </si>
  <si>
    <t>BP26001594</t>
  </si>
  <si>
    <t>BP2600159410101</t>
  </si>
  <si>
    <t>Optimizacion de la red de acueducto de los barrios San Luis y San Carlos</t>
  </si>
  <si>
    <t>Renovar 3.425 mts de las redes de acueducto de los barrios San Luis y San Carlos</t>
  </si>
  <si>
    <t>Conformación de Sectores Hidráulicos en la Red Baja Oriental del Sistema de Distribución de Agua Potable de la Ciudad de Cali</t>
  </si>
  <si>
    <t>BP26001160</t>
  </si>
  <si>
    <t>BP2600116010101</t>
  </si>
  <si>
    <t xml:space="preserve">Optimizar 1000 metros lineales de redes de acueducto . </t>
  </si>
  <si>
    <t xml:space="preserve">Acueductos optimizados </t>
  </si>
  <si>
    <t>Cali Corazón de las Culturas</t>
  </si>
  <si>
    <t>Fuentes, monumentos y bienes de interés cultural con sistemas de iluminación ornamental conservadas</t>
  </si>
  <si>
    <t>Mejoramiento de la iluminación ornamental de fuentes, monumentos y bienes de interés cultural de Cali</t>
  </si>
  <si>
    <t>BP26004620</t>
  </si>
  <si>
    <t>BP2600462010101</t>
  </si>
  <si>
    <t>Fuentes, monumentos y bienes de interes cultural con sistemas de iluminación ornamental conservadas</t>
  </si>
  <si>
    <t>Conservar 39 fuentes, monumentos y bienes de interes cultural con sistemas de iluminación ornamental</t>
  </si>
  <si>
    <t>Sedes Mantenidas</t>
  </si>
  <si>
    <t>Con corte a Marzo, no se cuenta con avance fisico debido a que se están realizando las actividades preliminares para iniciar con la ejecución de las actividades del proyecto.</t>
  </si>
  <si>
    <t xml:space="preserve">Grandes generadores con tecnologías de aprovechamiento de residuos sólidos orgánicos aplicadas  </t>
  </si>
  <si>
    <t>Aprovechamiento de los residuos sólidos orgánicos en Santiago de Cali</t>
  </si>
  <si>
    <t>BP26003690</t>
  </si>
  <si>
    <t>BP2600369010101</t>
  </si>
  <si>
    <t>Grandes generadores con tecnologías de aprovechamiento de residuos sólidos orgánicos aplicadas</t>
  </si>
  <si>
    <t xml:space="preserve">Aplicar a 25 grandes generadores de residuos sólidos, tecnologías de aprovechamiento de residuos sólidos orgánicos </t>
  </si>
  <si>
    <t>Documentos de estudios realizados</t>
  </si>
  <si>
    <t>Con corte a marzo se ha realizado el seguimiento a las composteras implementadas en vigencias pasadas, y se consolidó la base de datos de IEO a impactar en la presente vigencia, se definieron planes de acción establecidos a partir de hallazgos de  auditorías realizadas en vigencias pasadas. Las actividades ejecutadas a la fecha representan un cumplimiento del 17% del plan de trabajo del proceso.</t>
  </si>
  <si>
    <t>Ampliación de la técnologia de aprovechamiento de residuos solidos organicos en el coregimiento de montebello en Santiago de Cali</t>
  </si>
  <si>
    <t>BP26004954</t>
  </si>
  <si>
    <t>BP2600495410101</t>
  </si>
  <si>
    <t>Incrementar la infraestructura para el aprovechamiento de residuos sólidos orgánicos</t>
  </si>
  <si>
    <t>Plan de Gestión Integral de Residuos Solidos implementado</t>
  </si>
  <si>
    <t xml:space="preserve">Barrios con rutas selectivas de residuos sólidos con inclusión de recicladores de oficio implementadas </t>
  </si>
  <si>
    <t>Implementación de la fase II de la ruta selectiva con inclusión de recicladores de oficio en Santiago de Cali</t>
  </si>
  <si>
    <t>BP26003692</t>
  </si>
  <si>
    <t>BP2600369210101</t>
  </si>
  <si>
    <t>Barrios con ruta selectiva de residuos sólidos aprovechables</t>
  </si>
  <si>
    <t xml:space="preserve">Implementar en 20 barrios la fase II de ruta selectiva con inclusión de recicladores de oficio </t>
  </si>
  <si>
    <t>Plan de Gestión Integral de Residuos Solidos implementado.</t>
  </si>
  <si>
    <t>Con corte a marzo se han realizados los diagnosticos, mesas de trabajo, y recoleccion de infomacion iniciales para estructurar plan de trabajo, y construir la linea base para los planes de trabajo 2024, en pro de cumplimiento de la Politica Publica de Inclusion de Recicladores de Oficio a la Economia Formal de Aseo, el decreto 596 de 2016, y la sentencia T-291</t>
  </si>
  <si>
    <t>BP2600369210201</t>
  </si>
  <si>
    <t>Brindar el servicio de aseo a 652.651 usuarios</t>
  </si>
  <si>
    <t>Número de Usuarios</t>
  </si>
  <si>
    <t>Con corte a marzo se realizó la revisión de los barrios con potencial de rutas selectivas, de acuerdo con la identificación de operación de recicladores de oficio, adicionalmente se inicia proceso para ingresar al inventario IDESC, de los recorridos implementados entre 2020 y 2023. Se puso en marcha la plataforma para los reportes de indicadores de gestión de la sistemas de gestión de residuos sólidos, teniendo como resultado de 1335 reportes de los grandes generadores de residuos solidos, y se ha realizado 166 visitas de diagnostico y seguimiento a la implementacion del SGIRS</t>
  </si>
  <si>
    <t>Fortalecimiento de los componentes del aprovechamiento de residuos sólidos en Cali</t>
  </si>
  <si>
    <t>BP26005120</t>
  </si>
  <si>
    <t>BP2600512010101</t>
  </si>
  <si>
    <t>Servicio de Aseo</t>
  </si>
  <si>
    <t xml:space="preserve">
Incrementar el acceso al servicio de aseo en la actividad de aprovechamiento</t>
  </si>
  <si>
    <t>Usuarios con acceso al servicio de aseo</t>
  </si>
  <si>
    <t xml:space="preserve">Sitio de recolección, transporte, transferencia, aprovechamiento y disposición final para la gestión de residuos de construcción y demolición RCD operando </t>
  </si>
  <si>
    <t>Fortalecimiento a la Gestión Integral de Residuos de Construcción y Demolición -RCD en Santiago de Cali</t>
  </si>
  <si>
    <t>BP26002536</t>
  </si>
  <si>
    <t>BP2600253610101</t>
  </si>
  <si>
    <t>Sitio de recolección, transporte, transferencia, aprovechamiento y disposición final para la gestión de residuos de construcción y demolición RCD operando</t>
  </si>
  <si>
    <t>Operar sitio de recolección, transporte, aprovechamiento y disposición final para la gestión de residuos de construcción y demolición RCD</t>
  </si>
  <si>
    <t>Plan de Gestión Integral de Residuos Solidos implementado</t>
  </si>
  <si>
    <t>Con corte a marzo se EVACUARON de la Estación de Transferencia de la carrera 50 aproximadamente 5.000 toneladas de Residuos de Construcción y Demolición -RCD con Autopista Simón Bolívar en el marco de la ejecución del Contrato Interadministrativo No. 4182.010.26.1.100-2024 celebrado entre la UAESP y CANDEASEO E.S.P.</t>
  </si>
  <si>
    <t>BP2600253610201</t>
  </si>
  <si>
    <t>Servicios de valorización de residuos sólidos (planta piloto)</t>
  </si>
  <si>
    <t>Residuos valorizados producidos.</t>
  </si>
  <si>
    <t xml:space="preserve">Con corte a marzo  se realizo  TRANSFORMACION de Residuos de Construccion y Demolicion  RCD  de origen residencial en conjunto con el Sena de la Construcción, en la Planta Piloto ubicada en ACOPI YUMBO, en el marco de la ejecución del Convenio Interadministrativo No.00009. </t>
  </si>
  <si>
    <t xml:space="preserve">Espacios públicos impactados por el manejo inadecuado de residuos sólidos intervenidos </t>
  </si>
  <si>
    <t>Mejoramiento de la Gestión Integral de residuos sólidos y componentes del servicio público de aseo de Santiago de Cali</t>
  </si>
  <si>
    <t>BP26002537</t>
  </si>
  <si>
    <t>BP2600253710101</t>
  </si>
  <si>
    <t>Espacios públicos impactados por disposición inadecuada de residuos sólidos</t>
  </si>
  <si>
    <t>Intervenir 50 espacios públicos impactados por el manejo inadecuado de residuos sólidos</t>
  </si>
  <si>
    <t>Con corte a marzo, se ha realizado seguimiento a la prestación del servicio público de aseo en todos sus componentes y a los puntos críticos y de arrojo clandestino presentes en el Distrito de Santiago de Cali beneficiando al 100% de la población objetivo del proyecto que corresponde a 2.283.846 personas. Se ha realizado seguimiento a los prestadores y operadores del servicio público de aseo para el cumplimiento con calidad, cobertura y continuidad a los siguientes componentes: a. Recolección, Transporte y Transferencia de Residuos Sólidos, b. Barrido y Limpieza y Vías y Áreas Públicas, c. Corte de Césped, d. Poda de árboles, e. Lavado de áreas Públicas. Así mismo, se ha realizado seguimiento a 14 puntos críticos de la ciudad y a 119 puntos de arrojo clandestino existentes y se realizaron visitas de seguimiento a la prestación del servicio púbico de aseo en las 22 comunas y 15 corregimientos.</t>
  </si>
  <si>
    <t xml:space="preserve">Lixiviados del antiguo vertedero de Navarro tratados </t>
  </si>
  <si>
    <t>Mantenimiento del sistema de la planta de tratamiento de lixiviados de  la ciudad de Santiago de Cali</t>
  </si>
  <si>
    <t>BP26004910</t>
  </si>
  <si>
    <t>BP26004910101</t>
  </si>
  <si>
    <t>Lixiviados del antiguo vertedero de Navarro tratados</t>
  </si>
  <si>
    <t>Tratar 40.000 m3 de lixiviados del antiguo Vertedoro de Navarro</t>
  </si>
  <si>
    <t>Documentos técnicos en tratamiento de aguas residuales realizados</t>
  </si>
  <si>
    <t>Con corte a marzo no se tiene avance fisico debido a que La relación porcentual de cantidad de m3 tratado corresponde 0% para la operación y mantenimiento de la PTL dado que se encuentra en su etapa inicial el proyecto. Así mismo, El proyecto incluyó una adición presupuestal para realizar el tratamiento de 32.500 m3 de lixiviados, la reparación de la Laguna 4 y la extracción y deshidratación de lodos de rechazo de la Laguna 6 de la Planta de Tratamiento de Lixiviados, lo cual implicó ajustar el proyecto para su aprobación, situación que requirió mayor tiempo a lo proyectado. Con base en lo anterior, se espera a finales del mes de abril tener aprobadas las adiciones, realizado las cotizaciones con los m3 de lixiviados adicionales a tratar y los trámites respectivos ante DAP para continuar con el proceso precontractual.</t>
  </si>
  <si>
    <t>Monitoreo anual de calidad ambiental (estabilidad de la masa de residuos y calidad del aire) del antiguo vertedero de Navarro</t>
  </si>
  <si>
    <t>Diagnóstico de la calidad ambiental de Pos-Clausura del antiguo vertedero de la ciudad de Cali</t>
  </si>
  <si>
    <t>BP26002539</t>
  </si>
  <si>
    <t>BP2600253910101</t>
  </si>
  <si>
    <t>Condiciones ambientales (estabilidad de la masa de residuos y calidad del aire) del antiguo vertedero de Navarro monitoreadas</t>
  </si>
  <si>
    <t>Realizar el servicio de vigilancia de la calidad del aire</t>
  </si>
  <si>
    <t xml:space="preserve">Estaciones para el monitoreo de la calidad del aire implementadas </t>
  </si>
  <si>
    <t>Con corte a marzo, no se tiene avance fisico debido a que  se han remitido los documentos al grupo de contratación para su revisión y ajustes. Así mismo, se están realizando las solicitudes para las cotizaciones respectivas y posterior elaboración del análisis del sector y elaboración de CDP. Es de anotar, que el proceso precontractual está proyectado iniciar en el mes de abril y para el mes de junio realizar los trabajos del monitoreo de calidad del aire en el Antiguo Vertedero de Navarro - AVN.</t>
  </si>
  <si>
    <t xml:space="preserve">Personas sensibilizadas en gestión de residuos sólidos con inclusión de recicladores de oficio  </t>
  </si>
  <si>
    <t>Implementación  de la estrategia de comunicación para el manejo adecuado de los residuos sólidos en el marco de la prestación de los servicios públicos en Santiago de Cali.</t>
  </si>
  <si>
    <t>BP26004817</t>
  </si>
  <si>
    <t>BP2600481710101</t>
  </si>
  <si>
    <t>Plan de gestión integral de residuos sólidos</t>
  </si>
  <si>
    <t xml:space="preserve">Implementar una estrategia de sensibilización en la gestión integral de residuos sólidos </t>
  </si>
  <si>
    <t>Con corte al mes de marzo, se llevaron a cabo diversas jornadas de difusión de información destinadas a la prestación de servicios públicos en las comunas y corregimientos de Cali, lo que ha permitido, hasta la fecha, sensibilizar a un total de 1,307 personas. Asimismo, gracias al diseño e implementación de la estrategia de Información, Educación y Comunicación (IEC) de la Entidad en el marco de la campaña 'Volvamos a mi Cali Bella', se logró impactar a una audiencia más amplia, alcanzando a 13,662 individuos a través de videos y boletines de sensibilización sobre el adecuado manejo de los residuos sólidos. En conjunto, estos esfuerzos representan un avance significativo hacia la meta establecida, alcanzando un total de 14,969 personas sensibilizadas, lo que equivale al 24% del objetivo general.</t>
  </si>
  <si>
    <t>C</t>
  </si>
  <si>
    <t xml:space="preserve">Soporte Vital para el Desarrollo </t>
  </si>
  <si>
    <t xml:space="preserve">Gestión del Agua </t>
  </si>
  <si>
    <t xml:space="preserve">Plantas de Tratamiento de Agua Residual Doméstica (PTARD) construidas en la zona rural </t>
  </si>
  <si>
    <t>Implementación de infraestructura de saneamiento básico zona rural Santiago de Cali</t>
  </si>
  <si>
    <t>BP26004800</t>
  </si>
  <si>
    <t>BP2600480010101</t>
  </si>
  <si>
    <t>Sistemas de alcantarillado y tratamiento de aguas servidas mejoradas en la zona rural</t>
  </si>
  <si>
    <t xml:space="preserve">Mejorar 2 Planta de Tratamiento de Agua Residual Doméstica (PTARD) en la zona rural  </t>
  </si>
  <si>
    <t xml:space="preserve">Alcantarillados optimizados </t>
  </si>
  <si>
    <t xml:space="preserve">Plantas de Tratamiento de Agua Residual Doméstica (PTARD) mejoradas en la zona rural  </t>
  </si>
  <si>
    <t>Optimización de la cobertura de los Sistemas de Saneamiento Básico zona rural Santiago de Cali</t>
  </si>
  <si>
    <t>BP26004798</t>
  </si>
  <si>
    <t>BP2600479810101</t>
  </si>
  <si>
    <t xml:space="preserve">Mejorar 1 Planta de Tratamiento de Agua Residual Doméstica (PTARD) en la zona rural  </t>
  </si>
  <si>
    <t xml:space="preserve">Con corte al mes de marzo no se presenta vance fisico debido a que se remitió la documentación de la actividad "Realizar Obras de Mejoramiento PTARD y Red de Alcantarillado vereda el Pajui Fase III, a la EDRU, entidad que se encargará del proceso contractual. Asi mismo se inició el fortalecimiento administrativo y operativo de las JAAA de la zona rural del Distrito de Santiago de Cali.
</t>
  </si>
  <si>
    <t>Líneas de servicios del Proceso Servicios Públicos certificadas bajo la ISO 9001:2015</t>
  </si>
  <si>
    <t>BP26002540</t>
  </si>
  <si>
    <t>Normalización de Líneas de Servicios bajo la ISO9001-2015 en la UAESP de Santiago de Cali</t>
  </si>
  <si>
    <t>BP2600254010101</t>
  </si>
  <si>
    <t>Certificar 1 Líneas de servicios del Proceso Servicios Públicos bajo la ISO 9001:2015</t>
  </si>
  <si>
    <t xml:space="preserve">25%
</t>
  </si>
  <si>
    <t>Con corte a marzo se realizo seguimiento a los avances de las  acciones y metas establecidas en  los Planes de Mejoramiento producto de las Auditorías de SGC-2023  Realizadas por la Subdirección de Gestión Organizacional-SGO- DADII y auditoría de Calidad a las lineas Certificadas de la UAESP VIGENCIA 2023, practicada por ICONTEC</t>
  </si>
  <si>
    <t>BP2600254010201</t>
  </si>
  <si>
    <t>Elaborar documentos de lineamientos tecnicos para la aplicación de los procesos  estrategicos y de apoyo</t>
  </si>
  <si>
    <t>Documentos de lineamientos tecnicos realizados</t>
  </si>
  <si>
    <t xml:space="preserve">Con corte al mes de mrazo se elaboro  y socializo  a los Equipos de trabajo de la UAESP, DRIVE correspondiente a el seguimiento de las herramientas de control (Seguimiento a riesgos, Politicas de Operación, Indicadores, Planes de control) del 1er trimestre de 2024-UAESP. Asi mismo se aplican los lineamientos establecidos por la Subdirección de Gestión Organizaciona-DADII.      
Se realizó reunión con los equipos de trabajo de la UAESP, involucrados en las acciones  de mejora, evaluadas como no efectivas por el Departamento Administrativo de control Interno,con el objeto de fortalecer la acción para futuras visitas del DACI O Contraloria Municipal.  </t>
  </si>
  <si>
    <t xml:space="preserve">Adecuar 1 Infraestructura para el bienestar animal </t>
  </si>
  <si>
    <t xml:space="preserve">	La actividad para el mantenimiento y adecuación de la infraestructura del CBA está planificada para iniciar en el mes de mayo.</t>
  </si>
  <si>
    <t xml:space="preserve">Atender 4.080 animales  con servicios veterinarios en el coso municipal 
</t>
  </si>
  <si>
    <t>Al 31 de marzo de 2024 se han atendido 1.729 animales, de los cuales 1.093 son urgencias. A su vez, 409 animales de los 1.729 atendidos tuvieron servicio de cirugía, los restantes 227 animales se atendieron por otros procedimientos.</t>
  </si>
  <si>
    <t xml:space="preserve">Atender 204 Servicios de atención integral a la fauna(quejas)
</t>
  </si>
  <si>
    <t>Al 31 de marzo de 2024 se tuvieron 76 casos de presunto maltrato animal atendidos, de los cuales se realizaron las respectivas audiencias y procesos judiciales. También se han dado en adopción 24 animales de manera responsable.</t>
  </si>
  <si>
    <t xml:space="preserve">Capacitar 2.400 personas en temas de maltrato y bienestar animal
</t>
  </si>
  <si>
    <t>Al 31 de marzo de 2024 se capacitado a 72 personas en temas de bienestar y protección animal sobre temas como funcionamiento del CBA, respecto animal, cuidado responsable, primeros auxilios, entre otros.</t>
  </si>
  <si>
    <t>Para prevenir la conformación de nuevas invasiones y garantizar la conservación de los ecosistemas, la Unidad de Control de Invasiones de la Secretaria de Seguridad y Justicia, ha realizado durante los meses de Enero a Marzo de 2024, 39 recorridos de monitoreo para prevención de invasiones, y 52 operativos de recuperación del espacio público en la  zona urbana y rural del Distrito de Santiago de Cali, logrando alrededor de 832 metros cuadrados recuperados.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</si>
</sst>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_€_-;\-* #,##0\ _€_-;_-* &quot;-&quot;\ _€_-;_-@_-"/>
    <numFmt numFmtId="165" formatCode="_-* #,##0.00\ _€_-;\-* #,##0.00\ _€_-;_-* &quot;-&quot;??\ _€_-;_-@_-"/>
    <numFmt numFmtId="166" formatCode="_(&quot;$&quot;* #,##0_);_(&quot;$&quot;* \(#,##0\);_(&quot;$&quot;* &quot;-&quot;_);_(@_)"/>
    <numFmt numFmtId="167" formatCode="_(* #,##0_);_(* \(#,##0\);_(* &quot;-&quot;_);_(@_)"/>
    <numFmt numFmtId="168" formatCode="_(* #,##0.00_);_(* \(#,##0.00\);_(* &quot;-&quot;??_);_(@_)"/>
    <numFmt numFmtId="169" formatCode="_(&quot;$&quot;\ * #,##0.00_);_(&quot;$&quot;\ * \(#,##0.00\);_(&quot;$&quot;\ * &quot;-&quot;??_);_(@_)"/>
    <numFmt numFmtId="170" formatCode="_([$€]* #,##0.00_);_([$€]* \(#,##0.00\);_([$€]* &quot;-&quot;??_);_(@_)"/>
    <numFmt numFmtId="171" formatCode="_ [$€-2]\ * #,##0.00_ ;_ [$€-2]\ * \-#,##0.00_ ;_ [$€-2]\ * &quot;-&quot;??_ "/>
    <numFmt numFmtId="172" formatCode="0.0%"/>
    <numFmt numFmtId="173" formatCode="[$-240A]dddd\,\ dd&quot; de &quot;mmmm&quot; de &quot;yyyy"/>
    <numFmt numFmtId="174" formatCode="0.0000"/>
    <numFmt numFmtId="175" formatCode="0.000"/>
    <numFmt numFmtId="176" formatCode="[$-C0A]General"/>
    <numFmt numFmtId="177" formatCode="d/m/yyyy"/>
    <numFmt numFmtId="178" formatCode="_(&quot;$&quot;\ * #,##0_);_(&quot;$&quot;\ * \(#,##0\);_(&quot;$&quot;\ * &quot;-&quot;_);_(@_)"/>
    <numFmt numFmtId="179" formatCode="0.00;[Red]0.00"/>
    <numFmt numFmtId="180" formatCode="#,##0.000"/>
    <numFmt numFmtId="181" formatCode="0.0000%"/>
    <numFmt numFmtId="182" formatCode="#,##0.00000"/>
    <numFmt numFmtId="183" formatCode="0.000%"/>
    <numFmt numFmtId="184" formatCode="dd/mm/yyyy"/>
    <numFmt numFmtId="185" formatCode="0.0"/>
    <numFmt numFmtId="186" formatCode="0.00000%"/>
    <numFmt numFmtId="187" formatCode="_(* #,##0_);_(* \(#,##0\);_(* &quot;-&quot;??_);_(@_)"/>
    <numFmt numFmtId="188" formatCode="_-* #,##0_-;\-* #,##0_-;_-* &quot;-&quot;??_-;_-@"/>
    <numFmt numFmtId="189" formatCode="[$-240A]dd/mm/yyyy"/>
    <numFmt numFmtId="190" formatCode="#,##0.0"/>
    <numFmt numFmtId="191" formatCode="#,##0_ ;\-#,##0\ "/>
    <numFmt numFmtId="192" formatCode="_-* #,##0_-;\-* #,##0_-;_-* &quot;-&quot;??_-;_-@_-"/>
    <numFmt numFmtId="193" formatCode="dd\.mm\.yyyy;@"/>
    <numFmt numFmtId="194" formatCode="_-* #,##0.0_-;\-* #,##0.0_-;_-* &quot;-&quot;_-;_-@_-"/>
    <numFmt numFmtId="195" formatCode="d/mm/yyyy;@"/>
    <numFmt numFmtId="196" formatCode="_-* #,##0.0_-;\-* #,##0.0_-;_-* &quot;-&quot;??_-;_-@_-"/>
    <numFmt numFmtId="197" formatCode="0.00000000000000000000000000000000000000000%"/>
  </numFmts>
  <fonts count="125">
    <font>
      <sz val="11"/>
      <color theme="1"/>
      <name val="Calibri"/>
      <family val="2"/>
      <scheme val="minor"/>
    </font>
    <font>
      <sz val="11"/>
      <color indexed="8"/>
      <name val="Calibri"/>
      <family val="2"/>
    </font>
    <font>
      <sz val="11"/>
      <name val="Arial Narrow"/>
      <family val="2"/>
    </font>
    <font>
      <sz val="10"/>
      <name val="Arial"/>
      <family val="2"/>
    </font>
    <font>
      <b/>
      <sz val="11"/>
      <name val="Arial Narrow"/>
      <family val="2"/>
    </font>
    <font>
      <b/>
      <sz val="14"/>
      <name val="Arial Narrow"/>
      <family val="2"/>
    </font>
    <font>
      <b/>
      <sz val="12"/>
      <name val="Arial Narrow"/>
      <family val="2"/>
    </font>
    <font>
      <sz val="11"/>
      <color indexed="8"/>
      <name val="Calibri"/>
      <family val="2"/>
    </font>
    <font>
      <sz val="10"/>
      <name val="Arial Narrow"/>
      <family val="2"/>
    </font>
    <font>
      <sz val="9"/>
      <color indexed="81"/>
      <name val="Tahoma"/>
      <family val="2"/>
    </font>
    <font>
      <b/>
      <sz val="9"/>
      <color indexed="81"/>
      <name val="Tahoma"/>
      <family val="2"/>
    </font>
    <font>
      <sz val="9"/>
      <color indexed="8"/>
      <name val="Arial Narrow"/>
      <family val="2"/>
    </font>
    <font>
      <sz val="9"/>
      <name val="Arial"/>
      <family val="2"/>
    </font>
    <font>
      <b/>
      <sz val="10"/>
      <name val="Arial Narrow"/>
      <family val="2"/>
    </font>
    <font>
      <sz val="8"/>
      <name val="Arial Narrow"/>
      <family val="2"/>
    </font>
    <font>
      <sz val="7"/>
      <name val="Arial Narrow"/>
      <family val="2"/>
    </font>
    <font>
      <sz val="6"/>
      <name val="Arial Narrow"/>
      <family val="2"/>
    </font>
    <font>
      <sz val="11"/>
      <color indexed="8"/>
      <name val="Calibri"/>
      <family val="2"/>
    </font>
    <font>
      <sz val="9"/>
      <color indexed="9"/>
      <name val="Arial"/>
      <family val="2"/>
    </font>
    <font>
      <sz val="10"/>
      <color indexed="9"/>
      <name val="Arial"/>
      <family val="2"/>
    </font>
    <font>
      <sz val="8"/>
      <color indexed="8"/>
      <name val="Arial Narrow"/>
      <family val="2"/>
    </font>
    <font>
      <sz val="10"/>
      <name val="MS Sans Serif"/>
      <family val="2"/>
    </font>
    <font>
      <i/>
      <sz val="11"/>
      <color indexed="23"/>
      <name val="Calibri"/>
      <family val="2"/>
    </font>
    <font>
      <sz val="11"/>
      <color indexed="8"/>
      <name val="Calibri"/>
      <family val="2"/>
    </font>
    <font>
      <sz val="12"/>
      <color indexed="8"/>
      <name val="Calibri"/>
      <family val="2"/>
    </font>
    <font>
      <sz val="9"/>
      <name val="Arial Narrow"/>
      <family val="2"/>
    </font>
    <font>
      <sz val="11"/>
      <color indexed="8"/>
      <name val="Calibri"/>
      <family val="2"/>
    </font>
    <font>
      <sz val="11"/>
      <color theme="1"/>
      <name val="Calibri"/>
      <family val="2"/>
      <scheme val="minor"/>
    </font>
    <font>
      <sz val="11"/>
      <color rgb="FF000000"/>
      <name val="Calibri"/>
      <family val="2"/>
    </font>
    <font>
      <sz val="12"/>
      <color theme="1"/>
      <name val="Calibri"/>
      <family val="2"/>
      <scheme val="minor"/>
    </font>
    <font>
      <sz val="11"/>
      <color theme="1"/>
      <name val="Arial Narrow"/>
      <family val="2"/>
    </font>
    <font>
      <sz val="9"/>
      <color theme="1"/>
      <name val="Arial Narrow"/>
      <family val="2"/>
    </font>
    <font>
      <sz val="12"/>
      <color theme="1"/>
      <name val="Arial Narrow"/>
      <family val="2"/>
    </font>
    <font>
      <b/>
      <sz val="12"/>
      <color theme="1"/>
      <name val="Arial Narrow"/>
      <family val="2"/>
    </font>
    <font>
      <sz val="12"/>
      <color indexed="8"/>
      <name val="Arial Narrow"/>
      <family val="2"/>
    </font>
    <font>
      <b/>
      <sz val="12"/>
      <color indexed="8"/>
      <name val="Arial Narrow"/>
      <family val="2"/>
    </font>
    <font>
      <sz val="9"/>
      <color rgb="FF000000"/>
      <name val="Arial Narrow"/>
      <family val="2"/>
    </font>
    <font>
      <sz val="10"/>
      <color rgb="FF000000"/>
      <name val="Arial Narrow"/>
      <family val="2"/>
    </font>
    <font>
      <sz val="8"/>
      <color theme="1"/>
      <name val="Arial Narrow"/>
      <family val="2"/>
    </font>
    <font>
      <sz val="10"/>
      <color theme="1"/>
      <name val="Arial Narrow"/>
      <family val="2"/>
    </font>
    <font>
      <sz val="11"/>
      <name val="Calibri"/>
      <family val="2"/>
    </font>
    <font>
      <sz val="11"/>
      <color theme="1"/>
      <name val="Arial"/>
      <family val="2"/>
    </font>
    <font>
      <sz val="11"/>
      <color rgb="FFFF0000"/>
      <name val="Arial Narrow"/>
      <family val="2"/>
    </font>
    <font>
      <sz val="11"/>
      <color theme="1"/>
      <name val="Arial Narrow"/>
      <family val="2"/>
    </font>
    <font>
      <b/>
      <sz val="11"/>
      <color theme="1"/>
      <name val="Arial Narrow"/>
      <family val="2"/>
    </font>
    <font>
      <sz val="10"/>
      <color rgb="FFFF0000"/>
      <name val="Arial Narrow"/>
      <family val="2"/>
    </font>
    <font>
      <b/>
      <sz val="12"/>
      <color theme="1"/>
      <name val="Arial Narrow"/>
      <family val="2"/>
    </font>
    <font>
      <sz val="11"/>
      <name val="Calibri"/>
      <family val="2"/>
    </font>
    <font>
      <b/>
      <sz val="14"/>
      <color theme="1"/>
      <name val="Arial Narrow"/>
      <family val="2"/>
    </font>
    <font>
      <sz val="12"/>
      <name val="Arial"/>
      <family val="2"/>
    </font>
    <font>
      <b/>
      <sz val="9"/>
      <color rgb="FF000000"/>
      <name val="Tahoma"/>
      <family val="2"/>
    </font>
    <font>
      <sz val="9"/>
      <color rgb="FF000000"/>
      <name val="Tahoma"/>
      <family val="2"/>
    </font>
    <font>
      <b/>
      <sz val="11"/>
      <name val="Arial"/>
      <family val="2"/>
    </font>
    <font>
      <b/>
      <sz val="11"/>
      <color theme="1"/>
      <name val="Arial"/>
      <family val="2"/>
    </font>
    <font>
      <b/>
      <sz val="11"/>
      <color rgb="FFFFFFFF"/>
      <name val="Calibri"/>
      <family val="2"/>
    </font>
    <font>
      <sz val="12"/>
      <color rgb="FFFF0000"/>
      <name val="Arial Narrow"/>
      <family val="2"/>
    </font>
    <font>
      <sz val="11"/>
      <color theme="1"/>
      <name val="Calibri"/>
      <family val="2"/>
    </font>
    <font>
      <sz val="9"/>
      <color rgb="FF000000"/>
      <name val="Arial"/>
      <family val="2"/>
    </font>
    <font>
      <sz val="10"/>
      <color rgb="FF000000"/>
      <name val="Inconsolata"/>
    </font>
    <font>
      <sz val="10"/>
      <color theme="1"/>
      <name val="Calibri"/>
      <family val="2"/>
    </font>
    <font>
      <sz val="9"/>
      <color rgb="FF000000"/>
      <name val="Arial Narrow"/>
      <family val="2"/>
      <charset val="1"/>
    </font>
    <font>
      <sz val="9"/>
      <color theme="1"/>
      <name val="Arial Narrow"/>
    </font>
    <font>
      <sz val="10"/>
      <color theme="1"/>
      <name val="Arial Narrow"/>
    </font>
    <font>
      <sz val="11"/>
      <color theme="1"/>
      <name val="Arial"/>
    </font>
    <font>
      <sz val="11"/>
      <color theme="1"/>
      <name val="Arial Narrow"/>
    </font>
    <font>
      <sz val="12"/>
      <color theme="1"/>
      <name val="Arial Narrow"/>
    </font>
    <font>
      <b/>
      <sz val="12"/>
      <color theme="1"/>
      <name val="Arial Narrow"/>
    </font>
    <font>
      <sz val="10"/>
      <color rgb="FFFF0000"/>
      <name val="Arial Narrow"/>
    </font>
    <font>
      <sz val="11"/>
      <color theme="1"/>
      <name val="Calibri"/>
    </font>
    <font>
      <sz val="9"/>
      <color indexed="10"/>
      <name val="Arial Narrow"/>
      <family val="2"/>
    </font>
    <font>
      <sz val="12"/>
      <name val="Arial Narrow"/>
      <family val="2"/>
    </font>
    <font>
      <sz val="9"/>
      <color theme="1"/>
      <name val="Arial"/>
      <family val="2"/>
    </font>
    <font>
      <sz val="11"/>
      <color indexed="8"/>
      <name val="Arial Narrow"/>
      <family val="2"/>
    </font>
    <font>
      <sz val="10"/>
      <color indexed="8"/>
      <name val="Arial Narrow"/>
      <family val="2"/>
    </font>
    <font>
      <sz val="9"/>
      <color indexed="9"/>
      <name val="Arial Narrow"/>
      <family val="2"/>
    </font>
    <font>
      <sz val="11"/>
      <color indexed="10"/>
      <name val="Arial Narrow"/>
      <family val="2"/>
    </font>
    <font>
      <sz val="9"/>
      <color rgb="FFFF0000"/>
      <name val="Arial Narrow"/>
      <family val="2"/>
    </font>
    <font>
      <sz val="10"/>
      <color indexed="10"/>
      <name val="Arial Narrow"/>
      <family val="2"/>
    </font>
    <font>
      <sz val="11"/>
      <name val="Arial"/>
    </font>
    <font>
      <sz val="9"/>
      <color rgb="FF000000"/>
      <name val="Arial Narrow"/>
    </font>
    <font>
      <sz val="9"/>
      <color rgb="FFFFFFFF"/>
      <name val="Arial Narrow"/>
    </font>
    <font>
      <sz val="10"/>
      <color rgb="FFFFFFFF"/>
      <name val="Arial Narrow"/>
    </font>
    <font>
      <sz val="8"/>
      <color theme="1"/>
      <name val="Arial Narrow"/>
    </font>
    <font>
      <sz val="11"/>
      <color rgb="FF000000"/>
      <name val="Arial Narrow"/>
    </font>
    <font>
      <sz val="10"/>
      <color rgb="FF000000"/>
      <name val="Arial Narrow"/>
    </font>
    <font>
      <sz val="11"/>
      <color rgb="FF000000"/>
      <name val="Arial Narrow"/>
      <family val="2"/>
    </font>
    <font>
      <sz val="10"/>
      <color theme="1"/>
      <name val="Arial"/>
      <family val="2"/>
    </font>
    <font>
      <b/>
      <sz val="12"/>
      <color rgb="FF000000"/>
      <name val="Arial Narrow"/>
    </font>
    <font>
      <sz val="10"/>
      <color theme="1"/>
      <name val="Arial"/>
    </font>
    <font>
      <sz val="12"/>
      <color rgb="FF000000"/>
      <name val="Arial Narrow"/>
    </font>
    <font>
      <sz val="10"/>
      <color rgb="FFFF0000"/>
      <name val="Arial"/>
    </font>
    <font>
      <u/>
      <sz val="10"/>
      <color rgb="FFFF0000"/>
      <name val="Arial"/>
    </font>
    <font>
      <sz val="10"/>
      <name val="Arial"/>
    </font>
    <font>
      <sz val="9"/>
      <color theme="1"/>
      <name val="Arial"/>
    </font>
    <font>
      <sz val="12"/>
      <color theme="1"/>
      <name val="Calibri"/>
    </font>
    <font>
      <sz val="9"/>
      <color theme="1"/>
      <name val="Calibri"/>
    </font>
    <font>
      <sz val="12"/>
      <color rgb="FF000000"/>
      <name val="Arial Narrow"/>
      <family val="2"/>
    </font>
    <font>
      <b/>
      <sz val="12"/>
      <color rgb="FF000000"/>
      <name val="Arial Narrow"/>
      <family val="2"/>
    </font>
    <font>
      <sz val="9"/>
      <color rgb="FF1F1F1F"/>
      <name val="Arial Narrow"/>
      <family val="2"/>
    </font>
    <font>
      <u/>
      <sz val="9"/>
      <name val="Arial Narrow"/>
      <family val="2"/>
    </font>
    <font>
      <sz val="9"/>
      <name val="Arial Narrow"/>
      <family val="2"/>
      <charset val="1"/>
    </font>
    <font>
      <sz val="9"/>
      <color theme="1"/>
      <name val="Calibri"/>
      <family val="2"/>
      <scheme val="minor"/>
    </font>
    <font>
      <b/>
      <sz val="9"/>
      <color indexed="10"/>
      <name val="Arial Narrow"/>
      <family val="2"/>
    </font>
    <font>
      <b/>
      <sz val="9"/>
      <name val="Arial Narrow"/>
      <family val="2"/>
    </font>
    <font>
      <sz val="12"/>
      <color indexed="10"/>
      <name val="Arial Narrow"/>
      <family val="2"/>
    </font>
    <font>
      <b/>
      <sz val="11"/>
      <color theme="1"/>
      <name val="Calibri"/>
      <family val="2"/>
      <scheme val="minor"/>
    </font>
    <font>
      <b/>
      <sz val="10"/>
      <color theme="1"/>
      <name val="Arial"/>
      <family val="2"/>
    </font>
    <font>
      <b/>
      <sz val="10"/>
      <color theme="1"/>
      <name val="Arial Narrow"/>
      <family val="2"/>
    </font>
    <font>
      <b/>
      <sz val="9"/>
      <color theme="1"/>
      <name val="Arial Narrow"/>
      <family val="2"/>
    </font>
    <font>
      <sz val="11"/>
      <name val="Calibri"/>
      <family val="2"/>
      <scheme val="minor"/>
    </font>
    <font>
      <sz val="10"/>
      <color theme="1"/>
      <name val="Calibri"/>
      <family val="2"/>
      <scheme val="minor"/>
    </font>
    <font>
      <sz val="9"/>
      <color theme="1"/>
      <name val="&quot;Arial Narrow&quot;"/>
    </font>
    <font>
      <sz val="11"/>
      <name val="Arial"/>
      <family val="2"/>
    </font>
    <font>
      <sz val="8"/>
      <color theme="1"/>
      <name val="Arial"/>
      <family val="2"/>
    </font>
    <font>
      <sz val="8"/>
      <name val="Arial"/>
      <family val="2"/>
    </font>
    <font>
      <sz val="8"/>
      <color rgb="FF000000"/>
      <name val="Arial"/>
      <family val="2"/>
    </font>
    <font>
      <sz val="9"/>
      <name val="Calibri"/>
      <family val="2"/>
    </font>
    <font>
      <sz val="12"/>
      <name val="Arial Narrow"/>
      <family val="2"/>
      <charset val="1"/>
    </font>
    <font>
      <b/>
      <sz val="12"/>
      <name val="Arial Narrow"/>
      <family val="2"/>
      <charset val="1"/>
    </font>
    <font>
      <sz val="11"/>
      <name val="Arial Narrow"/>
      <family val="2"/>
      <charset val="1"/>
    </font>
    <font>
      <sz val="10"/>
      <name val="Arial Narrow"/>
      <family val="2"/>
      <charset val="1"/>
    </font>
    <font>
      <sz val="9"/>
      <name val="&quot;Arial Narrow&quot;"/>
      <charset val="1"/>
    </font>
    <font>
      <sz val="9"/>
      <color theme="3"/>
      <name val="Arial Narrow"/>
      <family val="2"/>
    </font>
    <font>
      <sz val="12"/>
      <color theme="3"/>
      <name val="Arial Narrow"/>
      <family val="2"/>
    </font>
    <font>
      <sz val="11"/>
      <color theme="3"/>
      <name val="Arial Narrow"/>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CC0000"/>
        <bgColor rgb="FFFF0000"/>
      </patternFill>
    </fill>
    <fill>
      <patternFill patternType="solid">
        <fgColor theme="0" tint="-4.9989318521683403E-2"/>
        <bgColor indexed="64"/>
      </patternFill>
    </fill>
    <fill>
      <patternFill patternType="solid">
        <fgColor rgb="FF92D050"/>
        <bgColor indexed="64"/>
      </patternFill>
    </fill>
    <fill>
      <patternFill patternType="solid">
        <fgColor theme="0"/>
        <bgColor theme="0"/>
      </patternFill>
    </fill>
    <fill>
      <patternFill patternType="solid">
        <fgColor rgb="FFFFFFFF"/>
        <bgColor rgb="FFFFFFCC"/>
      </patternFill>
    </fill>
    <fill>
      <patternFill patternType="solid">
        <fgColor theme="0"/>
        <bgColor rgb="FFFFFFFF"/>
      </patternFill>
    </fill>
    <fill>
      <patternFill patternType="solid">
        <fgColor theme="6" tint="0.39997558519241921"/>
        <bgColor indexed="64"/>
      </patternFill>
    </fill>
  </fills>
  <borders count="58">
    <border>
      <left/>
      <right/>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right style="thin">
        <color indexed="64"/>
      </right>
      <top style="thin">
        <color indexed="64"/>
      </top>
      <bottom/>
      <diagonal/>
    </border>
    <border>
      <left/>
      <right style="thin">
        <color indexed="64"/>
      </right>
      <top/>
      <bottom style="thin">
        <color indexed="64"/>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thin">
        <color rgb="FF000000"/>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hair">
        <color rgb="FF000000"/>
      </left>
      <right/>
      <top/>
      <bottom/>
      <diagonal/>
    </border>
    <border>
      <left/>
      <right/>
      <top style="thin">
        <color indexed="64"/>
      </top>
      <bottom style="hair">
        <color indexed="64"/>
      </bottom>
      <diagonal/>
    </border>
    <border>
      <left/>
      <right/>
      <top style="hair">
        <color auto="1"/>
      </top>
      <bottom style="thin">
        <color indexed="64"/>
      </bottom>
      <diagonal/>
    </border>
    <border>
      <left style="hair">
        <color auto="1"/>
      </left>
      <right style="hair">
        <color auto="1"/>
      </right>
      <top style="hair">
        <color auto="1"/>
      </top>
      <bottom/>
      <diagonal/>
    </border>
    <border>
      <left/>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style="hair">
        <color indexed="64"/>
      </bottom>
      <diagonal/>
    </border>
    <border>
      <left/>
      <right style="hair">
        <color rgb="FF000000"/>
      </right>
      <top style="hair">
        <color rgb="FF000000"/>
      </top>
      <bottom style="hair">
        <color rgb="FF000000"/>
      </bottom>
      <diagonal/>
    </border>
    <border>
      <left style="hair">
        <color indexed="64"/>
      </left>
      <right/>
      <top/>
      <bottom style="hair">
        <color indexed="64"/>
      </bottom>
      <diagonal/>
    </border>
    <border>
      <left style="hair">
        <color rgb="FF000000"/>
      </left>
      <right style="hair">
        <color indexed="64"/>
      </right>
      <top style="hair">
        <color indexed="64"/>
      </top>
      <bottom style="hair">
        <color indexed="64"/>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hair">
        <color indexed="64"/>
      </left>
      <right style="hair">
        <color indexed="64"/>
      </right>
      <top style="hair">
        <color indexed="64"/>
      </top>
      <bottom style="thin">
        <color rgb="FF000000"/>
      </bottom>
      <diagonal/>
    </border>
    <border>
      <left style="hair">
        <color indexed="64"/>
      </left>
      <right style="hair">
        <color indexed="64"/>
      </right>
      <top/>
      <bottom style="thin">
        <color rgb="FF000000"/>
      </bottom>
      <diagonal/>
    </border>
    <border>
      <left style="hair">
        <color indexed="64"/>
      </left>
      <right/>
      <top style="hair">
        <color indexed="64"/>
      </top>
      <bottom style="thin">
        <color rgb="FF000000"/>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auto="1"/>
      </right>
      <top style="hair">
        <color auto="1"/>
      </top>
      <bottom/>
      <diagonal/>
    </border>
    <border>
      <left/>
      <right style="hair">
        <color auto="1"/>
      </right>
      <top/>
      <bottom style="hair">
        <color auto="1"/>
      </bottom>
      <diagonal/>
    </border>
    <border>
      <left style="hair">
        <color auto="1"/>
      </left>
      <right/>
      <top style="hair">
        <color auto="1"/>
      </top>
      <bottom/>
      <diagonal/>
    </border>
    <border>
      <left style="hair">
        <color rgb="FF000000"/>
      </left>
      <right style="hair">
        <color auto="1"/>
      </right>
      <top style="hair">
        <color auto="1"/>
      </top>
      <bottom/>
      <diagonal/>
    </border>
    <border>
      <left style="hair">
        <color theme="0"/>
      </left>
      <right style="hair">
        <color theme="0"/>
      </right>
      <top style="hair">
        <color theme="0"/>
      </top>
      <bottom style="thin">
        <color indexed="64"/>
      </bottom>
      <diagonal/>
    </border>
    <border>
      <left style="hair">
        <color auto="1"/>
      </left>
      <right style="hair">
        <color rgb="FF000000"/>
      </right>
      <top style="hair">
        <color auto="1"/>
      </top>
      <bottom style="thin">
        <color indexed="64"/>
      </bottom>
      <diagonal/>
    </border>
    <border>
      <left style="hair">
        <color rgb="FF000000"/>
      </left>
      <right style="hair">
        <color auto="1"/>
      </right>
      <top/>
      <bottom style="thin">
        <color auto="1"/>
      </bottom>
      <diagonal/>
    </border>
    <border>
      <left style="hair">
        <color rgb="FF000000"/>
      </left>
      <right style="hair">
        <color rgb="FF000000"/>
      </right>
      <top style="hair">
        <color rgb="FF000000"/>
      </top>
      <bottom style="thin">
        <color indexed="64"/>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indexed="64"/>
      </left>
      <right style="hair">
        <color indexed="64"/>
      </right>
      <top style="hair">
        <color indexed="64"/>
      </top>
      <bottom style="thin">
        <color indexed="64"/>
      </bottom>
      <diagonal/>
    </border>
  </borders>
  <cellStyleXfs count="91">
    <xf numFmtId="0" fontId="0" fillId="0" borderId="0"/>
    <xf numFmtId="170" fontId="3" fillId="0" borderId="0" applyFont="0" applyFill="0" applyBorder="0" applyAlignment="0" applyProtection="0"/>
    <xf numFmtId="171" fontId="3" fillId="0" borderId="0" applyFont="0" applyFill="0" applyBorder="0" applyAlignment="0" applyProtection="0"/>
    <xf numFmtId="0" fontId="1" fillId="0" borderId="0"/>
    <xf numFmtId="175" fontId="28" fillId="0" borderId="0"/>
    <xf numFmtId="0" fontId="1" fillId="0" borderId="0"/>
    <xf numFmtId="0" fontId="22" fillId="0" borderId="0" applyNumberForma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41" fontId="3" fillId="0" borderId="0" applyFont="0" applyFill="0" applyBorder="0" applyAlignment="0" applyProtection="0"/>
    <xf numFmtId="41" fontId="23" fillId="0" borderId="0" applyFont="0" applyFill="0" applyBorder="0" applyAlignment="0" applyProtection="0"/>
    <xf numFmtId="41" fontId="26" fillId="0" borderId="0" applyFont="0" applyFill="0" applyBorder="0" applyAlignment="0" applyProtection="0"/>
    <xf numFmtId="167" fontId="3"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5" fontId="7" fillId="0" borderId="0" applyFont="0" applyFill="0" applyBorder="0" applyAlignment="0" applyProtection="0"/>
    <xf numFmtId="165" fontId="1"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0" fontId="21"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73" fontId="1" fillId="0" borderId="0" applyFont="0" applyFill="0" applyBorder="0" applyAlignment="0" applyProtection="0"/>
    <xf numFmtId="165" fontId="1" fillId="0" borderId="0" applyFont="0" applyFill="0" applyBorder="0" applyAlignment="0" applyProtection="0"/>
    <xf numFmtId="168" fontId="17" fillId="0" borderId="0" applyFont="0" applyFill="0" applyBorder="0" applyAlignment="0" applyProtection="0"/>
    <xf numFmtId="165" fontId="23" fillId="0" borderId="0" applyFont="0" applyFill="0" applyBorder="0" applyAlignment="0" applyProtection="0"/>
    <xf numFmtId="165" fontId="1" fillId="0" borderId="0" applyFont="0" applyFill="0" applyBorder="0" applyAlignment="0" applyProtection="0"/>
    <xf numFmtId="168" fontId="3" fillId="0" borderId="0" applyFont="0" applyFill="0" applyBorder="0" applyAlignment="0" applyProtection="0"/>
    <xf numFmtId="166" fontId="1" fillId="0" borderId="0" applyFont="0" applyFill="0" applyBorder="0" applyAlignment="0" applyProtection="0"/>
    <xf numFmtId="42" fontId="24"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28" fillId="0" borderId="0"/>
    <xf numFmtId="0" fontId="27" fillId="0" borderId="0"/>
    <xf numFmtId="0" fontId="27" fillId="0" borderId="0"/>
    <xf numFmtId="0" fontId="27" fillId="0" borderId="0"/>
    <xf numFmtId="0" fontId="27" fillId="0" borderId="0"/>
    <xf numFmtId="0" fontId="27" fillId="0" borderId="0"/>
    <xf numFmtId="0" fontId="1" fillId="0" borderId="0"/>
    <xf numFmtId="0" fontId="3" fillId="0" borderId="0"/>
    <xf numFmtId="0" fontId="27"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9" fontId="17"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23"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 fillId="0" borderId="0"/>
    <xf numFmtId="178" fontId="1" fillId="0" borderId="0" applyFont="0" applyFill="0" applyBorder="0" applyAlignment="0" applyProtection="0"/>
    <xf numFmtId="41"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41" fillId="0" borderId="0"/>
    <xf numFmtId="0" fontId="29" fillId="0" borderId="0"/>
    <xf numFmtId="0" fontId="54" fillId="7" borderId="0" applyBorder="0" applyProtection="0"/>
    <xf numFmtId="0" fontId="29" fillId="0" borderId="0"/>
    <xf numFmtId="0" fontId="41" fillId="0" borderId="0"/>
    <xf numFmtId="0" fontId="41" fillId="0" borderId="0"/>
    <xf numFmtId="43" fontId="27" fillId="0" borderId="0" applyFont="0" applyFill="0" applyBorder="0" applyAlignment="0" applyProtection="0"/>
    <xf numFmtId="41" fontId="27" fillId="0" borderId="0" applyFont="0" applyFill="0" applyBorder="0" applyAlignment="0" applyProtection="0"/>
    <xf numFmtId="44" fontId="27" fillId="0" borderId="0" applyFont="0" applyFill="0" applyBorder="0" applyAlignment="0" applyProtection="0"/>
    <xf numFmtId="0" fontId="1" fillId="0" borderId="0"/>
    <xf numFmtId="42" fontId="27" fillId="0" borderId="0" applyFont="0" applyFill="0" applyBorder="0" applyAlignment="0" applyProtection="0"/>
  </cellStyleXfs>
  <cellXfs count="3402">
    <xf numFmtId="0" fontId="0" fillId="0" borderId="0" xfId="0"/>
    <xf numFmtId="0" fontId="11" fillId="0" borderId="1" xfId="35" applyFont="1" applyBorder="1" applyAlignment="1">
      <alignment horizontal="center" vertical="center" wrapText="1"/>
    </xf>
    <xf numFmtId="0" fontId="2" fillId="0" borderId="0" xfId="43" applyFont="1" applyAlignment="1">
      <alignment horizontal="center" vertical="center"/>
    </xf>
    <xf numFmtId="0" fontId="2" fillId="0" borderId="0" xfId="43" applyFont="1" applyAlignment="1">
      <alignment vertical="center"/>
    </xf>
    <xf numFmtId="0" fontId="8" fillId="0" borderId="0" xfId="35" applyFont="1" applyAlignment="1">
      <alignment horizontal="left" vertical="center"/>
    </xf>
    <xf numFmtId="0" fontId="8" fillId="0" borderId="0" xfId="35" applyFont="1" applyAlignment="1">
      <alignment vertical="center"/>
    </xf>
    <xf numFmtId="0" fontId="3" fillId="0" borderId="0" xfId="35" applyAlignment="1">
      <alignment vertical="center"/>
    </xf>
    <xf numFmtId="0" fontId="8" fillId="0" borderId="0" xfId="35" quotePrefix="1" applyFont="1" applyAlignment="1">
      <alignment horizontal="left" vertical="center"/>
    </xf>
    <xf numFmtId="0" fontId="8" fillId="0" borderId="0" xfId="35" applyFont="1" applyAlignment="1">
      <alignment horizontal="right" vertical="center"/>
    </xf>
    <xf numFmtId="0" fontId="8" fillId="0" borderId="0" xfId="35" applyFont="1" applyAlignment="1">
      <alignment horizontal="center" vertical="center"/>
    </xf>
    <xf numFmtId="9" fontId="13" fillId="0" borderId="0" xfId="64" applyFont="1" applyAlignment="1">
      <alignment horizontal="center" vertical="center"/>
    </xf>
    <xf numFmtId="0" fontId="12" fillId="0" borderId="0" xfId="35" applyFont="1" applyAlignment="1">
      <alignment vertical="center"/>
    </xf>
    <xf numFmtId="0" fontId="8" fillId="0" borderId="2" xfId="35" applyFont="1" applyBorder="1" applyAlignment="1">
      <alignment vertical="center"/>
    </xf>
    <xf numFmtId="0" fontId="8" fillId="0" borderId="2" xfId="35" applyFont="1" applyBorder="1" applyAlignment="1">
      <alignment horizontal="left" vertical="center"/>
    </xf>
    <xf numFmtId="3" fontId="3" fillId="0" borderId="0" xfId="35" applyNumberFormat="1" applyAlignment="1">
      <alignment vertical="center"/>
    </xf>
    <xf numFmtId="0" fontId="12" fillId="0" borderId="0" xfId="35" applyFont="1" applyAlignment="1">
      <alignment horizontal="right" vertical="center"/>
    </xf>
    <xf numFmtId="0" fontId="2" fillId="0" borderId="0" xfId="43" applyFont="1" applyAlignment="1">
      <alignment horizontal="left" vertical="center"/>
    </xf>
    <xf numFmtId="0" fontId="2" fillId="0" borderId="0" xfId="43" applyFont="1" applyAlignment="1">
      <alignment vertical="center" wrapText="1"/>
    </xf>
    <xf numFmtId="0" fontId="18" fillId="0" borderId="0" xfId="35" applyFont="1" applyAlignment="1">
      <alignment horizontal="right" vertical="center"/>
    </xf>
    <xf numFmtId="0" fontId="18" fillId="0" borderId="0" xfId="35" applyFont="1" applyAlignment="1">
      <alignment vertical="center"/>
    </xf>
    <xf numFmtId="0" fontId="19" fillId="0" borderId="0" xfId="35" applyFont="1" applyAlignment="1">
      <alignment vertical="center"/>
    </xf>
    <xf numFmtId="10" fontId="18" fillId="0" borderId="0" xfId="35" applyNumberFormat="1" applyFont="1" applyAlignment="1">
      <alignment vertical="center"/>
    </xf>
    <xf numFmtId="174" fontId="18" fillId="0" borderId="0" xfId="35" applyNumberFormat="1" applyFont="1" applyAlignment="1">
      <alignment vertical="center"/>
    </xf>
    <xf numFmtId="0" fontId="11" fillId="0" borderId="2" xfId="35" applyFont="1" applyBorder="1" applyAlignment="1">
      <alignment horizontal="center" vertical="center" wrapText="1"/>
    </xf>
    <xf numFmtId="0" fontId="14" fillId="0" borderId="0" xfId="35" applyFont="1" applyAlignment="1">
      <alignment vertical="center"/>
    </xf>
    <xf numFmtId="0" fontId="2" fillId="2" borderId="0" xfId="44" applyFont="1" applyFill="1" applyAlignment="1">
      <alignment vertical="center"/>
    </xf>
    <xf numFmtId="0" fontId="2" fillId="2" borderId="0" xfId="43" applyFont="1" applyFill="1" applyAlignment="1">
      <alignment vertical="center"/>
    </xf>
    <xf numFmtId="0" fontId="2" fillId="0" borderId="0" xfId="44" applyFont="1" applyAlignment="1">
      <alignment vertical="center"/>
    </xf>
    <xf numFmtId="3" fontId="14" fillId="0" borderId="0" xfId="35" applyNumberFormat="1" applyFont="1" applyAlignment="1">
      <alignment vertical="center"/>
    </xf>
    <xf numFmtId="3" fontId="14" fillId="0" borderId="0" xfId="35" applyNumberFormat="1" applyFont="1" applyAlignment="1">
      <alignment horizontal="right" vertical="center"/>
    </xf>
    <xf numFmtId="172" fontId="14" fillId="0" borderId="0" xfId="35" applyNumberFormat="1" applyFont="1" applyAlignment="1">
      <alignment horizontal="right" vertical="center" wrapText="1"/>
    </xf>
    <xf numFmtId="172" fontId="14" fillId="0" borderId="0" xfId="64" applyNumberFormat="1" applyFont="1" applyAlignment="1">
      <alignment vertical="center"/>
    </xf>
    <xf numFmtId="0" fontId="14" fillId="0" borderId="0" xfId="35" applyFont="1" applyAlignment="1">
      <alignment horizontal="center" vertical="center"/>
    </xf>
    <xf numFmtId="0" fontId="14" fillId="0" borderId="0" xfId="35" quotePrefix="1" applyFont="1" applyAlignment="1">
      <alignment horizontal="center" vertical="center"/>
    </xf>
    <xf numFmtId="0" fontId="14" fillId="0" borderId="0" xfId="35" applyFont="1" applyAlignment="1">
      <alignment horizontal="left" vertical="center"/>
    </xf>
    <xf numFmtId="0" fontId="20" fillId="0" borderId="0" xfId="0" applyFont="1" applyAlignment="1">
      <alignment horizontal="center" vertical="center" wrapText="1"/>
    </xf>
    <xf numFmtId="3" fontId="14" fillId="0" borderId="0" xfId="35" applyNumberFormat="1" applyFont="1" applyAlignment="1">
      <alignment horizontal="left" vertical="center"/>
    </xf>
    <xf numFmtId="172" fontId="14" fillId="0" borderId="0" xfId="35" applyNumberFormat="1" applyFont="1" applyAlignment="1">
      <alignment horizontal="left" vertical="center"/>
    </xf>
    <xf numFmtId="172" fontId="14" fillId="0" borderId="0" xfId="35" applyNumberFormat="1" applyFont="1" applyAlignment="1">
      <alignment vertical="center"/>
    </xf>
    <xf numFmtId="0" fontId="15" fillId="0" borderId="0" xfId="35" applyFont="1" applyAlignment="1">
      <alignment vertical="center"/>
    </xf>
    <xf numFmtId="0" fontId="16" fillId="0" borderId="0" xfId="35" quotePrefix="1" applyFont="1" applyAlignment="1">
      <alignment vertical="center"/>
    </xf>
    <xf numFmtId="0" fontId="6" fillId="0" borderId="1" xfId="39" applyFont="1" applyBorder="1" applyAlignment="1">
      <alignment horizontal="center" vertical="center" wrapText="1"/>
    </xf>
    <xf numFmtId="0" fontId="6" fillId="3" borderId="1" xfId="39" applyFont="1" applyFill="1" applyBorder="1" applyAlignment="1">
      <alignment horizontal="center" vertical="center"/>
    </xf>
    <xf numFmtId="0" fontId="6" fillId="0" borderId="1" xfId="39" applyFont="1" applyBorder="1" applyAlignment="1">
      <alignment horizontal="center" vertical="center"/>
    </xf>
    <xf numFmtId="0" fontId="2" fillId="0" borderId="0" xfId="35" applyFont="1" applyAlignment="1">
      <alignment horizontal="left" vertical="center"/>
    </xf>
    <xf numFmtId="0" fontId="8" fillId="0" borderId="0" xfId="44" applyFont="1" applyAlignment="1">
      <alignment horizontal="center" vertical="center"/>
    </xf>
    <xf numFmtId="0" fontId="8" fillId="0" borderId="0" xfId="43" applyFont="1" applyAlignment="1">
      <alignment vertical="center"/>
    </xf>
    <xf numFmtId="0" fontId="8" fillId="0" borderId="0" xfId="44" applyFont="1" applyAlignment="1">
      <alignment vertical="center"/>
    </xf>
    <xf numFmtId="0" fontId="8" fillId="0" borderId="0" xfId="43" applyFont="1" applyAlignment="1">
      <alignment horizontal="center" vertical="center"/>
    </xf>
    <xf numFmtId="0" fontId="8" fillId="0" borderId="0" xfId="43" applyFont="1" applyAlignment="1">
      <alignment horizontal="left" vertical="center"/>
    </xf>
    <xf numFmtId="0" fontId="8" fillId="0" borderId="0" xfId="44" applyFont="1" applyAlignment="1">
      <alignment vertical="center" wrapText="1"/>
    </xf>
    <xf numFmtId="0" fontId="2" fillId="0" borderId="0" xfId="44" applyFont="1" applyAlignment="1">
      <alignment horizontal="center" vertical="center"/>
    </xf>
    <xf numFmtId="0" fontId="39" fillId="0" borderId="0" xfId="0" applyFont="1" applyAlignment="1">
      <alignment vertical="center"/>
    </xf>
    <xf numFmtId="0" fontId="39" fillId="0" borderId="0" xfId="0" applyFont="1" applyAlignment="1">
      <alignment horizontal="center" vertical="center"/>
    </xf>
    <xf numFmtId="0" fontId="30" fillId="0" borderId="0" xfId="0" applyFont="1" applyAlignment="1">
      <alignment vertical="center"/>
    </xf>
    <xf numFmtId="3" fontId="39" fillId="0" borderId="0" xfId="0" applyNumberFormat="1" applyFont="1" applyAlignment="1">
      <alignment vertical="center"/>
    </xf>
    <xf numFmtId="0" fontId="30" fillId="0" borderId="0" xfId="0" applyFont="1" applyAlignment="1">
      <alignment vertical="center" wrapText="1"/>
    </xf>
    <xf numFmtId="0" fontId="39" fillId="0" borderId="0" xfId="0" applyFont="1" applyAlignment="1">
      <alignment vertical="center" wrapText="1"/>
    </xf>
    <xf numFmtId="0" fontId="2" fillId="0" borderId="0" xfId="43" applyFont="1"/>
    <xf numFmtId="3" fontId="8" fillId="0" borderId="0" xfId="44" applyNumberFormat="1" applyFont="1" applyAlignment="1">
      <alignment vertical="center"/>
    </xf>
    <xf numFmtId="0" fontId="43" fillId="0" borderId="0" xfId="0" applyFont="1" applyAlignment="1">
      <alignment vertical="center"/>
    </xf>
    <xf numFmtId="1" fontId="37" fillId="0" borderId="0" xfId="0" applyNumberFormat="1" applyFont="1" applyAlignment="1">
      <alignment horizontal="center" vertical="center"/>
    </xf>
    <xf numFmtId="0" fontId="6" fillId="5" borderId="1" xfId="39" applyFont="1" applyFill="1" applyBorder="1" applyAlignment="1">
      <alignment horizontal="center" vertical="center"/>
    </xf>
    <xf numFmtId="0" fontId="2" fillId="0" borderId="0" xfId="44" applyFont="1"/>
    <xf numFmtId="0" fontId="46" fillId="0" borderId="11" xfId="0" applyFont="1" applyBorder="1" applyAlignment="1">
      <alignment horizontal="left" vertical="center" wrapText="1"/>
    </xf>
    <xf numFmtId="0" fontId="46" fillId="0" borderId="11" xfId="0" applyFont="1" applyBorder="1" applyAlignment="1">
      <alignment horizontal="center" vertical="center"/>
    </xf>
    <xf numFmtId="0" fontId="49" fillId="0" borderId="0" xfId="44" applyFont="1" applyAlignment="1">
      <alignment vertical="center"/>
    </xf>
    <xf numFmtId="0" fontId="2" fillId="0" borderId="0" xfId="44" applyFont="1" applyAlignment="1">
      <alignment vertical="center" wrapText="1"/>
    </xf>
    <xf numFmtId="10" fontId="2" fillId="0" borderId="0" xfId="79" applyNumberFormat="1" applyFont="1" applyFill="1" applyAlignment="1">
      <alignment vertical="center"/>
    </xf>
    <xf numFmtId="9" fontId="2" fillId="0" borderId="0" xfId="79" applyFont="1" applyFill="1" applyAlignment="1">
      <alignment vertical="center"/>
    </xf>
    <xf numFmtId="10" fontId="2" fillId="0" borderId="0" xfId="79" applyNumberFormat="1" applyFont="1" applyFill="1" applyAlignment="1">
      <alignment horizontal="center" vertical="center"/>
    </xf>
    <xf numFmtId="9" fontId="2" fillId="0" borderId="0" xfId="79" applyFont="1" applyFill="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vertical="center" wrapText="1"/>
    </xf>
    <xf numFmtId="0" fontId="31" fillId="0" borderId="10" xfId="0" applyFont="1" applyBorder="1" applyAlignment="1">
      <alignment horizontal="center" vertical="center"/>
    </xf>
    <xf numFmtId="0" fontId="31" fillId="0" borderId="10" xfId="0" applyFont="1" applyBorder="1" applyAlignment="1">
      <alignment vertical="center"/>
    </xf>
    <xf numFmtId="3" fontId="31" fillId="0" borderId="10" xfId="0" applyNumberFormat="1" applyFont="1" applyBorder="1" applyAlignment="1">
      <alignment vertical="center"/>
    </xf>
    <xf numFmtId="172" fontId="31" fillId="0" borderId="10" xfId="0" applyNumberFormat="1" applyFont="1" applyBorder="1" applyAlignment="1">
      <alignment vertical="center"/>
    </xf>
    <xf numFmtId="3" fontId="39" fillId="0" borderId="10" xfId="0" applyNumberFormat="1" applyFont="1" applyBorder="1" applyAlignment="1">
      <alignment vertical="center" wrapText="1"/>
    </xf>
    <xf numFmtId="172" fontId="30" fillId="0" borderId="0" xfId="0" applyNumberFormat="1" applyFont="1" applyAlignment="1">
      <alignment vertical="center"/>
    </xf>
    <xf numFmtId="0" fontId="32" fillId="0" borderId="18" xfId="0" applyFont="1" applyBorder="1" applyAlignment="1">
      <alignment vertical="center"/>
    </xf>
    <xf numFmtId="0" fontId="32" fillId="0" borderId="18" xfId="0" applyFont="1" applyBorder="1" applyAlignment="1">
      <alignment horizontal="center" vertical="center"/>
    </xf>
    <xf numFmtId="0" fontId="32" fillId="0" borderId="18" xfId="0" applyFont="1" applyBorder="1" applyAlignment="1">
      <alignment horizontal="left" vertical="center" wrapText="1"/>
    </xf>
    <xf numFmtId="3" fontId="32" fillId="0" borderId="18" xfId="0" applyNumberFormat="1" applyFont="1" applyBorder="1" applyAlignment="1">
      <alignment vertical="center" wrapText="1"/>
    </xf>
    <xf numFmtId="0" fontId="32" fillId="0" borderId="10" xfId="0" applyFont="1" applyBorder="1" applyAlignment="1">
      <alignment vertical="center"/>
    </xf>
    <xf numFmtId="0" fontId="32" fillId="0" borderId="10" xfId="0" applyFont="1" applyBorder="1" applyAlignment="1">
      <alignment horizontal="center" vertical="center"/>
    </xf>
    <xf numFmtId="0" fontId="32" fillId="0" borderId="10" xfId="0" applyFont="1" applyBorder="1" applyAlignment="1">
      <alignment horizontal="left" vertical="center" wrapText="1"/>
    </xf>
    <xf numFmtId="3" fontId="32" fillId="0" borderId="10" xfId="0" applyNumberFormat="1" applyFont="1" applyBorder="1" applyAlignment="1">
      <alignment vertical="center" wrapText="1"/>
    </xf>
    <xf numFmtId="0" fontId="32" fillId="0" borderId="10" xfId="0" applyFont="1" applyBorder="1" applyAlignment="1">
      <alignment vertical="center" wrapText="1"/>
    </xf>
    <xf numFmtId="0" fontId="30" fillId="0" borderId="10" xfId="0" applyFont="1" applyBorder="1" applyAlignment="1">
      <alignment vertical="center"/>
    </xf>
    <xf numFmtId="0" fontId="30" fillId="0" borderId="10" xfId="0" applyFont="1" applyBorder="1" applyAlignment="1">
      <alignment horizontal="left" vertical="center" wrapText="1"/>
    </xf>
    <xf numFmtId="0" fontId="39" fillId="0" borderId="10" xfId="0" applyFont="1" applyBorder="1" applyAlignment="1">
      <alignment vertical="center"/>
    </xf>
    <xf numFmtId="3" fontId="31" fillId="0" borderId="10" xfId="0" applyNumberFormat="1" applyFont="1" applyBorder="1" applyAlignment="1">
      <alignment horizontal="center" vertical="center" wrapText="1"/>
    </xf>
    <xf numFmtId="3" fontId="31" fillId="0" borderId="10" xfId="0" applyNumberFormat="1" applyFont="1" applyBorder="1" applyAlignment="1">
      <alignment horizontal="center" vertical="center"/>
    </xf>
    <xf numFmtId="3" fontId="39" fillId="0" borderId="10" xfId="0" applyNumberFormat="1" applyFont="1" applyBorder="1" applyAlignment="1">
      <alignment horizontal="center" vertical="center" wrapText="1"/>
    </xf>
    <xf numFmtId="0" fontId="31" fillId="0" borderId="10" xfId="0" applyFont="1" applyBorder="1" applyAlignment="1">
      <alignment vertical="center" wrapText="1"/>
    </xf>
    <xf numFmtId="0" fontId="30" fillId="0" borderId="10" xfId="0" applyFont="1" applyBorder="1" applyAlignment="1">
      <alignment vertical="center" wrapText="1"/>
    </xf>
    <xf numFmtId="0" fontId="30" fillId="0" borderId="10" xfId="0" applyFont="1" applyBorder="1" applyAlignment="1">
      <alignment horizontal="center" vertical="center"/>
    </xf>
    <xf numFmtId="3" fontId="30" fillId="0" borderId="10" xfId="0" applyNumberFormat="1" applyFont="1" applyBorder="1" applyAlignment="1">
      <alignment vertical="center" wrapText="1"/>
    </xf>
    <xf numFmtId="172" fontId="31" fillId="0" borderId="10" xfId="0" applyNumberFormat="1" applyFont="1" applyBorder="1" applyAlignment="1">
      <alignment vertical="center" wrapText="1"/>
    </xf>
    <xf numFmtId="3" fontId="31" fillId="0" borderId="10" xfId="0" applyNumberFormat="1" applyFont="1" applyBorder="1" applyAlignment="1">
      <alignment horizontal="right" vertical="center" wrapText="1"/>
    </xf>
    <xf numFmtId="9" fontId="39" fillId="0" borderId="10" xfId="0" applyNumberFormat="1" applyFont="1" applyBorder="1" applyAlignment="1">
      <alignment horizontal="center" vertical="center"/>
    </xf>
    <xf numFmtId="9" fontId="31" fillId="0" borderId="10" xfId="0" applyNumberFormat="1" applyFont="1" applyBorder="1" applyAlignment="1">
      <alignment horizontal="center" vertical="center"/>
    </xf>
    <xf numFmtId="0" fontId="8" fillId="0" borderId="0" xfId="44" applyFont="1" applyAlignment="1">
      <alignment horizontal="center" vertical="center" wrapText="1"/>
    </xf>
    <xf numFmtId="0" fontId="8" fillId="0" borderId="0" xfId="43" applyFont="1" applyAlignment="1">
      <alignment horizontal="right" vertical="center"/>
    </xf>
    <xf numFmtId="0" fontId="39" fillId="0" borderId="10" xfId="0" applyFont="1" applyBorder="1" applyAlignment="1">
      <alignment horizontal="left" vertical="center" wrapText="1"/>
    </xf>
    <xf numFmtId="0" fontId="30" fillId="0" borderId="0" xfId="0" applyFont="1" applyAlignment="1">
      <alignment horizontal="center" vertical="center"/>
    </xf>
    <xf numFmtId="0" fontId="30" fillId="0" borderId="0" xfId="0" applyFont="1" applyAlignment="1">
      <alignment horizontal="left" vertical="center"/>
    </xf>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horizontal="center" vertical="center" wrapText="1"/>
    </xf>
    <xf numFmtId="0" fontId="39" fillId="0" borderId="0" xfId="0" applyFont="1" applyAlignment="1">
      <alignment horizontal="left" vertical="center"/>
    </xf>
    <xf numFmtId="172" fontId="39" fillId="0" borderId="0" xfId="0" applyNumberFormat="1" applyFont="1" applyAlignment="1">
      <alignment horizontal="right" vertical="center"/>
    </xf>
    <xf numFmtId="0" fontId="39" fillId="0" borderId="0" xfId="0" applyFont="1" applyAlignment="1">
      <alignment horizontal="center" vertical="center" wrapText="1"/>
    </xf>
    <xf numFmtId="0" fontId="31" fillId="0" borderId="10" xfId="0" applyFont="1" applyBorder="1" applyAlignment="1">
      <alignment horizontal="right" vertical="center" wrapText="1"/>
    </xf>
    <xf numFmtId="0" fontId="31" fillId="0" borderId="10" xfId="0" applyFont="1" applyBorder="1" applyAlignment="1">
      <alignment horizontal="left" vertical="center" wrapText="1"/>
    </xf>
    <xf numFmtId="0" fontId="39" fillId="0" borderId="10" xfId="0" applyFont="1" applyBorder="1" applyAlignment="1">
      <alignment horizontal="center" vertical="center" wrapText="1"/>
    </xf>
    <xf numFmtId="1" fontId="39" fillId="0" borderId="10" xfId="0" applyNumberFormat="1" applyFont="1" applyBorder="1" applyAlignment="1">
      <alignment horizontal="center" vertical="center" wrapText="1"/>
    </xf>
    <xf numFmtId="0" fontId="2" fillId="0" borderId="0" xfId="43" applyFont="1" applyAlignment="1" applyProtection="1">
      <alignment vertical="center"/>
      <protection hidden="1"/>
    </xf>
    <xf numFmtId="1" fontId="32" fillId="0" borderId="10" xfId="0" applyNumberFormat="1" applyFont="1" applyBorder="1" applyAlignment="1">
      <alignment horizontal="center" vertical="center" wrapText="1"/>
    </xf>
    <xf numFmtId="1" fontId="30" fillId="0" borderId="10" xfId="0" applyNumberFormat="1" applyFont="1" applyBorder="1" applyAlignment="1">
      <alignment horizontal="center" vertical="center" wrapText="1"/>
    </xf>
    <xf numFmtId="0" fontId="31" fillId="0" borderId="19" xfId="0" applyFont="1" applyBorder="1" applyAlignment="1">
      <alignment vertical="center" wrapText="1"/>
    </xf>
    <xf numFmtId="3" fontId="31" fillId="0" borderId="0" xfId="0" applyNumberFormat="1" applyFont="1" applyAlignment="1">
      <alignment vertical="center"/>
    </xf>
    <xf numFmtId="172" fontId="39" fillId="0" borderId="0" xfId="0" applyNumberFormat="1" applyFont="1" applyAlignment="1">
      <alignment horizontal="center" vertical="center"/>
    </xf>
    <xf numFmtId="172" fontId="39" fillId="0" borderId="0" xfId="0" applyNumberFormat="1" applyFont="1" applyAlignment="1">
      <alignment vertical="center"/>
    </xf>
    <xf numFmtId="0" fontId="33" fillId="0" borderId="18" xfId="0" applyFont="1" applyBorder="1" applyAlignment="1">
      <alignment vertical="center"/>
    </xf>
    <xf numFmtId="0" fontId="31" fillId="0" borderId="0" xfId="0" applyFont="1" applyAlignment="1">
      <alignment vertical="center" wrapText="1"/>
    </xf>
    <xf numFmtId="9" fontId="31" fillId="0" borderId="0" xfId="0" applyNumberFormat="1" applyFont="1" applyAlignment="1">
      <alignment vertical="center"/>
    </xf>
    <xf numFmtId="172" fontId="31" fillId="0" borderId="0" xfId="0" applyNumberFormat="1" applyFont="1" applyAlignment="1">
      <alignment vertical="center"/>
    </xf>
    <xf numFmtId="177" fontId="31" fillId="0" borderId="0" xfId="0" applyNumberFormat="1" applyFont="1" applyAlignment="1">
      <alignment vertical="center"/>
    </xf>
    <xf numFmtId="1" fontId="31" fillId="0" borderId="0" xfId="0" applyNumberFormat="1" applyFont="1" applyAlignment="1">
      <alignment horizontal="center" vertical="center" wrapText="1"/>
    </xf>
    <xf numFmtId="0" fontId="36" fillId="0" borderId="0" xfId="0" applyFont="1" applyAlignment="1">
      <alignment vertical="center" wrapText="1"/>
    </xf>
    <xf numFmtId="9" fontId="31" fillId="0" borderId="0" xfId="0" applyNumberFormat="1" applyFont="1" applyAlignment="1">
      <alignment horizontal="right" vertical="center"/>
    </xf>
    <xf numFmtId="9" fontId="31" fillId="0" borderId="0" xfId="0" applyNumberFormat="1" applyFont="1" applyAlignment="1">
      <alignment vertical="center" wrapText="1"/>
    </xf>
    <xf numFmtId="9" fontId="31" fillId="6" borderId="0" xfId="0" applyNumberFormat="1" applyFont="1" applyFill="1" applyAlignment="1">
      <alignment horizontal="center" vertical="center" wrapText="1"/>
    </xf>
    <xf numFmtId="3" fontId="31" fillId="0" borderId="0" xfId="0" applyNumberFormat="1" applyFont="1" applyAlignment="1">
      <alignment horizontal="right" vertical="center" wrapText="1"/>
    </xf>
    <xf numFmtId="177" fontId="31" fillId="0" borderId="0" xfId="0" applyNumberFormat="1" applyFont="1" applyAlignment="1">
      <alignment horizontal="right" vertical="center"/>
    </xf>
    <xf numFmtId="3" fontId="39" fillId="0" borderId="0" xfId="0" applyNumberFormat="1" applyFont="1" applyAlignment="1">
      <alignment horizontal="right" vertical="center" wrapText="1"/>
    </xf>
    <xf numFmtId="3" fontId="38" fillId="0" borderId="0" xfId="0" applyNumberFormat="1" applyFont="1" applyAlignment="1">
      <alignment horizontal="right" vertical="center" wrapText="1"/>
    </xf>
    <xf numFmtId="172" fontId="38" fillId="0" borderId="0" xfId="0" applyNumberFormat="1" applyFont="1" applyAlignment="1">
      <alignment horizontal="right" vertical="center" wrapText="1"/>
    </xf>
    <xf numFmtId="3" fontId="38" fillId="0" borderId="0" xfId="0" applyNumberFormat="1" applyFont="1" applyAlignment="1">
      <alignment vertical="center"/>
    </xf>
    <xf numFmtId="172" fontId="38" fillId="0" borderId="0" xfId="0" applyNumberFormat="1" applyFont="1" applyAlignment="1">
      <alignment vertical="center"/>
    </xf>
    <xf numFmtId="0" fontId="31" fillId="0" borderId="10" xfId="0" applyFont="1" applyBorder="1" applyAlignment="1">
      <alignment horizontal="center" vertical="center" wrapText="1"/>
    </xf>
    <xf numFmtId="172" fontId="31" fillId="0" borderId="10" xfId="0" applyNumberFormat="1" applyFont="1" applyBorder="1" applyAlignment="1">
      <alignment horizontal="center" vertical="center"/>
    </xf>
    <xf numFmtId="172" fontId="31" fillId="0" borderId="10" xfId="0" applyNumberFormat="1" applyFont="1" applyBorder="1" applyAlignment="1">
      <alignment horizontal="center" vertical="center" wrapText="1"/>
    </xf>
    <xf numFmtId="0" fontId="32" fillId="0" borderId="10" xfId="0" applyFont="1" applyBorder="1" applyAlignment="1">
      <alignment horizontal="left" vertical="center"/>
    </xf>
    <xf numFmtId="0" fontId="30"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31" fillId="0" borderId="19" xfId="0" applyFont="1" applyBorder="1" applyAlignment="1">
      <alignment horizontal="center" vertical="center" wrapText="1"/>
    </xf>
    <xf numFmtId="9" fontId="31" fillId="0" borderId="10" xfId="0" applyNumberFormat="1" applyFont="1" applyBorder="1" applyAlignment="1">
      <alignment horizontal="center" vertical="center" wrapText="1"/>
    </xf>
    <xf numFmtId="0" fontId="0" fillId="0" borderId="0" xfId="0" applyAlignment="1">
      <alignment vertical="center"/>
    </xf>
    <xf numFmtId="3" fontId="31" fillId="0" borderId="10" xfId="0" applyNumberFormat="1" applyFont="1" applyBorder="1" applyAlignment="1">
      <alignment horizontal="right" vertical="center"/>
    </xf>
    <xf numFmtId="172" fontId="31" fillId="0" borderId="10" xfId="0" applyNumberFormat="1" applyFont="1" applyBorder="1" applyAlignment="1">
      <alignment horizontal="right" vertical="center"/>
    </xf>
    <xf numFmtId="0" fontId="31" fillId="0" borderId="10" xfId="0" applyFont="1" applyBorder="1" applyAlignment="1">
      <alignment horizontal="left" vertical="center"/>
    </xf>
    <xf numFmtId="0" fontId="39" fillId="0" borderId="10" xfId="0" applyFont="1" applyBorder="1" applyAlignment="1">
      <alignment horizontal="left" vertical="center"/>
    </xf>
    <xf numFmtId="0" fontId="30" fillId="0" borderId="10" xfId="0" applyFont="1" applyBorder="1" applyAlignment="1">
      <alignment horizontal="left" vertical="center"/>
    </xf>
    <xf numFmtId="10" fontId="39" fillId="0" borderId="10" xfId="0" applyNumberFormat="1" applyFont="1" applyBorder="1" applyAlignment="1">
      <alignment horizontal="center" vertical="center" wrapText="1"/>
    </xf>
    <xf numFmtId="3" fontId="31" fillId="0" borderId="19" xfId="0" applyNumberFormat="1" applyFont="1" applyBorder="1" applyAlignment="1">
      <alignment horizontal="right" vertical="center"/>
    </xf>
    <xf numFmtId="3" fontId="39" fillId="0" borderId="10" xfId="0" applyNumberFormat="1" applyFont="1" applyBorder="1" applyAlignment="1">
      <alignment vertical="center"/>
    </xf>
    <xf numFmtId="0" fontId="6" fillId="0" borderId="20" xfId="39" applyFont="1" applyBorder="1" applyAlignment="1">
      <alignment horizontal="left" vertical="center" wrapText="1"/>
    </xf>
    <xf numFmtId="0" fontId="6" fillId="0" borderId="20" xfId="39" applyFont="1" applyBorder="1" applyAlignment="1">
      <alignment horizontal="center" vertical="center"/>
    </xf>
    <xf numFmtId="0" fontId="32" fillId="0" borderId="18" xfId="0" applyFont="1" applyBorder="1" applyAlignment="1">
      <alignment horizontal="center" vertical="center" wrapText="1"/>
    </xf>
    <xf numFmtId="0" fontId="30" fillId="0" borderId="0" xfId="0" applyFont="1" applyAlignment="1">
      <alignment horizontal="center" vertical="center" wrapText="1"/>
    </xf>
    <xf numFmtId="172" fontId="31" fillId="0" borderId="19" xfId="0" applyNumberFormat="1" applyFont="1" applyBorder="1" applyAlignment="1">
      <alignment vertical="center"/>
    </xf>
    <xf numFmtId="172" fontId="14" fillId="0" borderId="0" xfId="0" applyNumberFormat="1" applyFont="1" applyAlignment="1">
      <alignment horizontal="right" vertical="center" wrapText="1"/>
    </xf>
    <xf numFmtId="0" fontId="39" fillId="0" borderId="24" xfId="0" applyFont="1" applyBorder="1" applyAlignment="1">
      <alignment vertical="center"/>
    </xf>
    <xf numFmtId="14" fontId="39" fillId="0" borderId="10" xfId="0" applyNumberFormat="1" applyFont="1" applyBorder="1" applyAlignment="1">
      <alignment horizontal="right" vertical="center" wrapText="1"/>
    </xf>
    <xf numFmtId="0" fontId="25" fillId="0" borderId="10" xfId="49" applyFont="1" applyBorder="1" applyAlignment="1">
      <alignment vertical="center"/>
    </xf>
    <xf numFmtId="0" fontId="25" fillId="2" borderId="10" xfId="49" applyFont="1" applyFill="1" applyBorder="1" applyAlignment="1">
      <alignment horizontal="center" vertical="center"/>
    </xf>
    <xf numFmtId="0" fontId="25" fillId="0" borderId="10" xfId="49" applyFont="1" applyBorder="1" applyAlignment="1">
      <alignment horizontal="right" vertical="center"/>
    </xf>
    <xf numFmtId="172" fontId="25" fillId="0" borderId="10" xfId="49" applyNumberFormat="1" applyFont="1" applyBorder="1" applyAlignment="1">
      <alignment vertical="center"/>
    </xf>
    <xf numFmtId="3" fontId="25" fillId="0" borderId="10" xfId="49" applyNumberFormat="1" applyFont="1" applyBorder="1" applyAlignment="1">
      <alignment vertical="center" wrapText="1"/>
    </xf>
    <xf numFmtId="172" fontId="25" fillId="0" borderId="10" xfId="49" applyNumberFormat="1" applyFont="1" applyBorder="1" applyAlignment="1">
      <alignment horizontal="right" vertical="center" wrapText="1"/>
    </xf>
    <xf numFmtId="3" fontId="25" fillId="0" borderId="10" xfId="49" applyNumberFormat="1" applyFont="1" applyBorder="1" applyAlignment="1">
      <alignment vertical="center"/>
    </xf>
    <xf numFmtId="3" fontId="25" fillId="2" borderId="10" xfId="49" applyNumberFormat="1" applyFont="1" applyFill="1" applyBorder="1" applyAlignment="1">
      <alignment vertical="center"/>
    </xf>
    <xf numFmtId="172" fontId="25" fillId="0" borderId="10" xfId="44" applyNumberFormat="1" applyFont="1" applyBorder="1" applyAlignment="1">
      <alignment vertical="center"/>
    </xf>
    <xf numFmtId="172" fontId="25" fillId="0" borderId="10" xfId="65" applyNumberFormat="1" applyFont="1" applyFill="1" applyBorder="1" applyAlignment="1">
      <alignment vertical="center"/>
    </xf>
    <xf numFmtId="0" fontId="25" fillId="0" borderId="10" xfId="44" applyFont="1" applyBorder="1" applyAlignment="1">
      <alignment vertical="center"/>
    </xf>
    <xf numFmtId="0" fontId="25" fillId="0" borderId="10" xfId="43" applyFont="1" applyBorder="1"/>
    <xf numFmtId="0" fontId="25" fillId="0" borderId="10" xfId="38" applyFont="1" applyBorder="1" applyAlignment="1">
      <alignment vertical="center" wrapText="1"/>
    </xf>
    <xf numFmtId="0" fontId="25" fillId="0" borderId="10" xfId="49" applyFont="1" applyBorder="1" applyAlignment="1">
      <alignment horizontal="center" vertical="center" wrapText="1"/>
    </xf>
    <xf numFmtId="0" fontId="25" fillId="0" borderId="10" xfId="49" applyFont="1" applyBorder="1" applyAlignment="1">
      <alignment vertical="center" wrapText="1"/>
    </xf>
    <xf numFmtId="172" fontId="25" fillId="0" borderId="10" xfId="65" applyNumberFormat="1" applyFont="1" applyFill="1" applyBorder="1" applyAlignment="1">
      <alignment horizontal="right" vertical="center"/>
    </xf>
    <xf numFmtId="172" fontId="25" fillId="0" borderId="10" xfId="65" applyNumberFormat="1" applyFont="1" applyFill="1" applyBorder="1" applyAlignment="1">
      <alignment vertical="center" wrapText="1"/>
    </xf>
    <xf numFmtId="14" fontId="25" fillId="0" borderId="10" xfId="44" applyNumberFormat="1" applyFont="1" applyBorder="1" applyAlignment="1">
      <alignment vertical="center"/>
    </xf>
    <xf numFmtId="0" fontId="25" fillId="0" borderId="10" xfId="44" applyFont="1" applyBorder="1" applyAlignment="1">
      <alignment horizontal="justify" vertical="center" wrapText="1"/>
    </xf>
    <xf numFmtId="0" fontId="25" fillId="2" borderId="19" xfId="43" applyFont="1" applyFill="1" applyBorder="1"/>
    <xf numFmtId="0" fontId="25" fillId="0" borderId="19" xfId="38" applyFont="1" applyBorder="1" applyAlignment="1">
      <alignment vertical="center" wrapText="1"/>
    </xf>
    <xf numFmtId="0" fontId="25" fillId="2" borderId="19" xfId="38" applyFont="1" applyFill="1" applyBorder="1" applyAlignment="1">
      <alignment vertical="center" wrapText="1"/>
    </xf>
    <xf numFmtId="0" fontId="25" fillId="0" borderId="19" xfId="49" applyFont="1" applyBorder="1" applyAlignment="1">
      <alignment vertical="center" wrapText="1"/>
    </xf>
    <xf numFmtId="0" fontId="25" fillId="0" borderId="19" xfId="49" applyFont="1" applyBorder="1" applyAlignment="1">
      <alignment vertical="center"/>
    </xf>
    <xf numFmtId="0" fontId="25" fillId="0" borderId="19" xfId="49" applyFont="1" applyBorder="1" applyAlignment="1">
      <alignment horizontal="right" vertical="center"/>
    </xf>
    <xf numFmtId="172" fontId="25" fillId="0" borderId="19" xfId="65" applyNumberFormat="1" applyFont="1" applyFill="1" applyBorder="1" applyAlignment="1">
      <alignment horizontal="right" vertical="center"/>
    </xf>
    <xf numFmtId="3" fontId="25" fillId="0" borderId="19" xfId="49" applyNumberFormat="1" applyFont="1" applyBorder="1" applyAlignment="1">
      <alignment vertical="center" wrapText="1"/>
    </xf>
    <xf numFmtId="172" fontId="25" fillId="0" borderId="19" xfId="65" applyNumberFormat="1" applyFont="1" applyFill="1" applyBorder="1" applyAlignment="1">
      <alignment vertical="center" wrapText="1"/>
    </xf>
    <xf numFmtId="3" fontId="25" fillId="0" borderId="19" xfId="49" applyNumberFormat="1" applyFont="1" applyBorder="1" applyAlignment="1">
      <alignment vertical="center"/>
    </xf>
    <xf numFmtId="172" fontId="25" fillId="0" borderId="19" xfId="44" applyNumberFormat="1" applyFont="1" applyBorder="1" applyAlignment="1">
      <alignment vertical="center"/>
    </xf>
    <xf numFmtId="172" fontId="25" fillId="0" borderId="19" xfId="65" applyNumberFormat="1" applyFont="1" applyFill="1" applyBorder="1" applyAlignment="1">
      <alignment vertical="center"/>
    </xf>
    <xf numFmtId="14" fontId="25" fillId="0" borderId="19" xfId="44" applyNumberFormat="1" applyFont="1" applyBorder="1" applyAlignment="1">
      <alignment vertical="center"/>
    </xf>
    <xf numFmtId="0" fontId="25" fillId="0" borderId="19" xfId="44" applyFont="1" applyBorder="1" applyAlignment="1">
      <alignment horizontal="justify" vertical="center" wrapText="1"/>
    </xf>
    <xf numFmtId="14" fontId="30" fillId="0" borderId="10" xfId="0" applyNumberFormat="1" applyFont="1" applyBorder="1" applyAlignment="1">
      <alignment horizontal="right" vertical="center" wrapText="1"/>
    </xf>
    <xf numFmtId="0" fontId="25" fillId="0" borderId="10" xfId="49" applyFont="1" applyBorder="1" applyAlignment="1">
      <alignment horizontal="left" vertical="center" wrapText="1"/>
    </xf>
    <xf numFmtId="0" fontId="25" fillId="0" borderId="19" xfId="0" applyFont="1" applyBorder="1" applyAlignment="1">
      <alignment horizontal="left" vertical="center" wrapText="1"/>
    </xf>
    <xf numFmtId="0" fontId="30" fillId="0" borderId="0" xfId="0" applyFont="1" applyAlignment="1">
      <alignment horizontal="right" vertical="center"/>
    </xf>
    <xf numFmtId="0" fontId="59" fillId="0" borderId="0" xfId="0" applyFont="1" applyAlignment="1">
      <alignment vertical="center"/>
    </xf>
    <xf numFmtId="0" fontId="37" fillId="0" borderId="0" xfId="0" applyFont="1" applyAlignment="1">
      <alignment horizontal="right" vertical="center"/>
    </xf>
    <xf numFmtId="0" fontId="58" fillId="0" borderId="0" xfId="0" applyFont="1" applyAlignment="1">
      <alignment vertical="center"/>
    </xf>
    <xf numFmtId="0" fontId="36" fillId="0" borderId="10" xfId="0" applyFont="1" applyBorder="1" applyAlignment="1">
      <alignment horizontal="left" vertical="center" wrapText="1"/>
    </xf>
    <xf numFmtId="172" fontId="8" fillId="0" borderId="0" xfId="79" applyNumberFormat="1" applyFont="1" applyFill="1" applyBorder="1" applyAlignment="1">
      <alignment horizontal="center" vertical="center"/>
    </xf>
    <xf numFmtId="172" fontId="8" fillId="0" borderId="0" xfId="79" applyNumberFormat="1" applyFont="1" applyFill="1" applyBorder="1" applyAlignment="1">
      <alignment vertical="center"/>
    </xf>
    <xf numFmtId="0" fontId="31" fillId="0" borderId="19" xfId="0" applyFont="1" applyBorder="1" applyAlignment="1">
      <alignment horizontal="left" vertical="center" wrapText="1"/>
    </xf>
    <xf numFmtId="0" fontId="0" fillId="0" borderId="10" xfId="0" applyBorder="1" applyAlignment="1">
      <alignment vertical="center"/>
    </xf>
    <xf numFmtId="0" fontId="25" fillId="0" borderId="30" xfId="44" applyFont="1" applyBorder="1" applyAlignment="1">
      <alignment vertical="center" wrapText="1"/>
    </xf>
    <xf numFmtId="0" fontId="25" fillId="0" borderId="30" xfId="44" applyFont="1" applyBorder="1" applyAlignment="1">
      <alignment horizontal="left" vertical="center" wrapText="1"/>
    </xf>
    <xf numFmtId="0" fontId="2" fillId="0" borderId="30" xfId="44" applyFont="1" applyBorder="1" applyAlignment="1">
      <alignment horizontal="center" vertical="center"/>
    </xf>
    <xf numFmtId="0" fontId="2" fillId="0" borderId="30" xfId="44" applyFont="1" applyBorder="1" applyAlignment="1">
      <alignment vertical="center" wrapText="1"/>
    </xf>
    <xf numFmtId="0" fontId="2" fillId="0" borderId="30" xfId="44" applyFont="1" applyBorder="1" applyAlignment="1">
      <alignment vertical="center"/>
    </xf>
    <xf numFmtId="0" fontId="8" fillId="0" borderId="30" xfId="44" applyFont="1" applyBorder="1" applyAlignment="1">
      <alignment vertical="center" wrapText="1"/>
    </xf>
    <xf numFmtId="14" fontId="25" fillId="0" borderId="31" xfId="44" applyNumberFormat="1" applyFont="1" applyBorder="1" applyAlignment="1">
      <alignment vertical="center"/>
    </xf>
    <xf numFmtId="0" fontId="2" fillId="0" borderId="30" xfId="43" applyFont="1" applyBorder="1" applyAlignment="1">
      <alignment vertical="center"/>
    </xf>
    <xf numFmtId="172" fontId="39" fillId="0" borderId="10" xfId="0" applyNumberFormat="1" applyFont="1" applyBorder="1" applyAlignment="1">
      <alignment vertical="center"/>
    </xf>
    <xf numFmtId="0" fontId="2" fillId="0" borderId="30" xfId="44" applyFont="1" applyBorder="1" applyAlignment="1">
      <alignment horizontal="center" vertical="center" wrapText="1"/>
    </xf>
    <xf numFmtId="0" fontId="8" fillId="0" borderId="30" xfId="44" applyFont="1" applyBorder="1" applyAlignment="1">
      <alignment horizontal="center" vertical="center"/>
    </xf>
    <xf numFmtId="0" fontId="8" fillId="0" borderId="30" xfId="44" applyFont="1" applyBorder="1" applyAlignment="1">
      <alignment vertical="center"/>
    </xf>
    <xf numFmtId="0" fontId="8" fillId="0" borderId="30" xfId="44" applyFont="1" applyBorder="1" applyAlignment="1">
      <alignment horizontal="center" vertical="center" wrapText="1"/>
    </xf>
    <xf numFmtId="0" fontId="25" fillId="0" borderId="31" xfId="44" applyFont="1" applyBorder="1" applyAlignment="1">
      <alignment horizontal="center" vertical="center" wrapText="1"/>
    </xf>
    <xf numFmtId="0" fontId="25" fillId="0" borderId="30" xfId="44" applyFont="1" applyBorder="1" applyAlignment="1">
      <alignment horizontal="center" vertical="center" wrapText="1"/>
    </xf>
    <xf numFmtId="3" fontId="38" fillId="8" borderId="0" xfId="0" applyNumberFormat="1" applyFont="1" applyFill="1" applyAlignment="1">
      <alignment horizontal="right" vertical="center" wrapText="1"/>
    </xf>
    <xf numFmtId="0" fontId="2" fillId="0" borderId="33" xfId="44" applyFont="1" applyBorder="1" applyAlignment="1">
      <alignment vertical="center"/>
    </xf>
    <xf numFmtId="0" fontId="34" fillId="0" borderId="33" xfId="43" applyFont="1" applyBorder="1" applyAlignment="1">
      <alignment horizontal="center" vertical="center" wrapText="1"/>
    </xf>
    <xf numFmtId="0" fontId="35" fillId="0" borderId="33" xfId="43" applyFont="1" applyBorder="1" applyAlignment="1">
      <alignment vertical="center" wrapText="1"/>
    </xf>
    <xf numFmtId="0" fontId="2" fillId="0" borderId="33" xfId="44" applyFont="1" applyBorder="1" applyAlignment="1">
      <alignment horizontal="center" vertical="center"/>
    </xf>
    <xf numFmtId="0" fontId="2" fillId="0" borderId="33" xfId="44" applyFont="1" applyBorder="1" applyAlignment="1">
      <alignment horizontal="right" vertical="center"/>
    </xf>
    <xf numFmtId="9" fontId="2" fillId="0" borderId="33" xfId="79" applyFont="1" applyFill="1" applyBorder="1" applyAlignment="1">
      <alignment horizontal="right" vertical="center"/>
    </xf>
    <xf numFmtId="3" fontId="2" fillId="0" borderId="33" xfId="44" applyNumberFormat="1" applyFont="1" applyBorder="1" applyAlignment="1">
      <alignment vertical="center"/>
    </xf>
    <xf numFmtId="9" fontId="2" fillId="0" borderId="33" xfId="79" applyFont="1" applyFill="1" applyBorder="1" applyAlignment="1">
      <alignment vertical="center"/>
    </xf>
    <xf numFmtId="9" fontId="25" fillId="0" borderId="33" xfId="79" applyFont="1" applyFill="1" applyBorder="1" applyAlignment="1">
      <alignment vertical="center"/>
    </xf>
    <xf numFmtId="0" fontId="34" fillId="0" borderId="30" xfId="43" applyFont="1" applyBorder="1" applyAlignment="1">
      <alignment horizontal="center" vertical="center" wrapText="1"/>
    </xf>
    <xf numFmtId="0" fontId="34" fillId="0" borderId="30" xfId="43" applyFont="1" applyBorder="1" applyAlignment="1">
      <alignment vertical="center" wrapText="1"/>
    </xf>
    <xf numFmtId="0" fontId="2" fillId="0" borderId="30" xfId="44" applyFont="1" applyBorder="1" applyAlignment="1">
      <alignment horizontal="right" vertical="center"/>
    </xf>
    <xf numFmtId="9" fontId="2" fillId="0" borderId="30" xfId="79" applyFont="1" applyFill="1" applyBorder="1" applyAlignment="1">
      <alignment horizontal="right" vertical="center"/>
    </xf>
    <xf numFmtId="3" fontId="2" fillId="0" borderId="30" xfId="44" applyNumberFormat="1" applyFont="1" applyBorder="1" applyAlignment="1">
      <alignment vertical="center"/>
    </xf>
    <xf numFmtId="9" fontId="2" fillId="0" borderId="30" xfId="79" applyFont="1" applyFill="1" applyBorder="1" applyAlignment="1">
      <alignment vertical="center"/>
    </xf>
    <xf numFmtId="9" fontId="25" fillId="0" borderId="30" xfId="79" applyFont="1" applyFill="1" applyBorder="1" applyAlignment="1">
      <alignment vertical="center"/>
    </xf>
    <xf numFmtId="14" fontId="2" fillId="0" borderId="30" xfId="44" applyNumberFormat="1" applyFont="1" applyBorder="1" applyAlignment="1">
      <alignment vertical="center"/>
    </xf>
    <xf numFmtId="0" fontId="2" fillId="0" borderId="30" xfId="43" applyFont="1" applyBorder="1" applyAlignment="1">
      <alignment vertical="center" wrapText="1"/>
    </xf>
    <xf numFmtId="0" fontId="8" fillId="0" borderId="30" xfId="44" applyFont="1" applyBorder="1" applyAlignment="1">
      <alignment horizontal="right" vertical="center"/>
    </xf>
    <xf numFmtId="9" fontId="8" fillId="0" borderId="30" xfId="79" applyFont="1" applyFill="1" applyBorder="1" applyAlignment="1">
      <alignment horizontal="right" vertical="center"/>
    </xf>
    <xf numFmtId="0" fontId="25" fillId="0" borderId="30" xfId="44" applyFont="1" applyBorder="1" applyAlignment="1">
      <alignment horizontal="right" vertical="center" wrapText="1"/>
    </xf>
    <xf numFmtId="9" fontId="25" fillId="0" borderId="30" xfId="79" applyFont="1" applyFill="1" applyBorder="1" applyAlignment="1">
      <alignment vertical="center" wrapText="1"/>
    </xf>
    <xf numFmtId="3" fontId="25" fillId="0" borderId="30" xfId="79" applyNumberFormat="1" applyFont="1" applyFill="1" applyBorder="1" applyAlignment="1">
      <alignment vertical="center" wrapText="1"/>
    </xf>
    <xf numFmtId="172" fontId="25" fillId="0" borderId="30" xfId="79" applyNumberFormat="1" applyFont="1" applyFill="1" applyBorder="1" applyAlignment="1">
      <alignment horizontal="right" vertical="center" wrapText="1"/>
    </xf>
    <xf numFmtId="172" fontId="25" fillId="0" borderId="30" xfId="79" applyNumberFormat="1" applyFont="1" applyFill="1" applyBorder="1" applyAlignment="1">
      <alignment vertical="center"/>
    </xf>
    <xf numFmtId="3" fontId="25" fillId="0" borderId="30" xfId="44" applyNumberFormat="1" applyFont="1" applyBorder="1" applyAlignment="1">
      <alignment vertical="center" wrapText="1"/>
    </xf>
    <xf numFmtId="0" fontId="25" fillId="0" borderId="31" xfId="44" applyFont="1" applyBorder="1" applyAlignment="1">
      <alignment horizontal="left" vertical="center" wrapText="1"/>
    </xf>
    <xf numFmtId="0" fontId="25" fillId="0" borderId="31" xfId="44" applyFont="1" applyBorder="1" applyAlignment="1">
      <alignment horizontal="right" vertical="center" wrapText="1"/>
    </xf>
    <xf numFmtId="3" fontId="25" fillId="0" borderId="31" xfId="44" applyNumberFormat="1" applyFont="1" applyBorder="1" applyAlignment="1">
      <alignment vertical="center" wrapText="1"/>
    </xf>
    <xf numFmtId="9" fontId="25" fillId="0" borderId="31" xfId="79" applyFont="1" applyFill="1" applyBorder="1" applyAlignment="1">
      <alignment vertical="center" wrapText="1"/>
    </xf>
    <xf numFmtId="3" fontId="25" fillId="0" borderId="31" xfId="79" applyNumberFormat="1" applyFont="1" applyFill="1" applyBorder="1" applyAlignment="1">
      <alignment vertical="center" wrapText="1"/>
    </xf>
    <xf numFmtId="3" fontId="25" fillId="0" borderId="31" xfId="43" applyNumberFormat="1" applyFont="1" applyBorder="1" applyAlignment="1">
      <alignment vertical="center"/>
    </xf>
    <xf numFmtId="172" fontId="25" fillId="0" borderId="31" xfId="79" applyNumberFormat="1" applyFont="1" applyFill="1" applyBorder="1" applyAlignment="1">
      <alignment vertical="center"/>
    </xf>
    <xf numFmtId="0" fontId="8" fillId="0" borderId="0" xfId="44" applyFont="1" applyAlignment="1">
      <alignment horizontal="right" vertical="center"/>
    </xf>
    <xf numFmtId="9" fontId="8" fillId="0" borderId="0" xfId="79" applyFont="1" applyFill="1" applyBorder="1" applyAlignment="1">
      <alignment horizontal="right" vertical="center"/>
    </xf>
    <xf numFmtId="1" fontId="8" fillId="0" borderId="0" xfId="79" applyNumberFormat="1" applyFont="1" applyFill="1" applyBorder="1" applyAlignment="1">
      <alignment horizontal="center" vertical="center"/>
    </xf>
    <xf numFmtId="9" fontId="8" fillId="0" borderId="0" xfId="79" applyFont="1" applyFill="1" applyBorder="1" applyAlignment="1">
      <alignment vertical="center"/>
    </xf>
    <xf numFmtId="9" fontId="8" fillId="0" borderId="0" xfId="79" applyFont="1" applyFill="1" applyAlignment="1">
      <alignment vertical="center"/>
    </xf>
    <xf numFmtId="3" fontId="13" fillId="0" borderId="0" xfId="44" applyNumberFormat="1" applyFont="1" applyAlignment="1">
      <alignment vertical="center"/>
    </xf>
    <xf numFmtId="1" fontId="31" fillId="0" borderId="10" xfId="0" applyNumberFormat="1" applyFont="1" applyBorder="1" applyAlignment="1">
      <alignment vertical="center" wrapText="1"/>
    </xf>
    <xf numFmtId="177" fontId="31" fillId="0" borderId="10" xfId="0" applyNumberFormat="1" applyFont="1" applyBorder="1" applyAlignment="1">
      <alignment horizontal="center" vertical="center"/>
    </xf>
    <xf numFmtId="10" fontId="31" fillId="0" borderId="10" xfId="0" applyNumberFormat="1" applyFont="1" applyBorder="1" applyAlignment="1">
      <alignment vertical="center"/>
    </xf>
    <xf numFmtId="0" fontId="36" fillId="0" borderId="10" xfId="0" applyFont="1" applyBorder="1" applyAlignment="1">
      <alignment vertical="center" wrapText="1"/>
    </xf>
    <xf numFmtId="3" fontId="25" fillId="4" borderId="31" xfId="43" applyNumberFormat="1" applyFont="1" applyFill="1" applyBorder="1" applyAlignment="1">
      <alignment vertical="center"/>
    </xf>
    <xf numFmtId="0" fontId="56" fillId="0" borderId="10" xfId="0" applyFont="1" applyBorder="1" applyAlignment="1">
      <alignment vertical="center" wrapText="1"/>
    </xf>
    <xf numFmtId="9" fontId="30" fillId="0" borderId="10" xfId="0" applyNumberFormat="1" applyFont="1" applyBorder="1" applyAlignment="1">
      <alignment vertical="center" wrapText="1"/>
    </xf>
    <xf numFmtId="0" fontId="42" fillId="0" borderId="10" xfId="0" applyFont="1" applyBorder="1" applyAlignment="1">
      <alignment horizontal="center" vertical="center" wrapText="1"/>
    </xf>
    <xf numFmtId="0" fontId="62" fillId="0" borderId="10" xfId="0" applyFont="1" applyBorder="1" applyAlignment="1">
      <alignment horizontal="center" vertical="center" wrapText="1"/>
    </xf>
    <xf numFmtId="0" fontId="62" fillId="0" borderId="10" xfId="0" applyFont="1" applyBorder="1" applyAlignment="1">
      <alignment horizontal="left" vertical="center" wrapText="1"/>
    </xf>
    <xf numFmtId="0" fontId="61" fillId="0" borderId="10" xfId="0" applyFont="1" applyBorder="1" applyAlignment="1">
      <alignment horizontal="left" vertical="center" wrapText="1"/>
    </xf>
    <xf numFmtId="172" fontId="61" fillId="0" borderId="10" xfId="0" applyNumberFormat="1" applyFont="1" applyBorder="1" applyAlignment="1">
      <alignment horizontal="right" vertical="center" wrapText="1"/>
    </xf>
    <xf numFmtId="0" fontId="63" fillId="0" borderId="10" xfId="0" applyFont="1" applyBorder="1" applyAlignment="1">
      <alignment vertical="center"/>
    </xf>
    <xf numFmtId="9" fontId="31" fillId="0" borderId="10" xfId="0" applyNumberFormat="1" applyFont="1" applyBorder="1" applyAlignment="1">
      <alignment vertical="center"/>
    </xf>
    <xf numFmtId="3" fontId="31" fillId="0" borderId="10" xfId="0" applyNumberFormat="1" applyFont="1" applyBorder="1" applyAlignment="1">
      <alignment vertical="center" wrapText="1"/>
    </xf>
    <xf numFmtId="177" fontId="31" fillId="0" borderId="10" xfId="0" applyNumberFormat="1" applyFont="1" applyBorder="1" applyAlignment="1">
      <alignment horizontal="right" vertical="center" wrapText="1"/>
    </xf>
    <xf numFmtId="9" fontId="31" fillId="0" borderId="10" xfId="0" applyNumberFormat="1" applyFont="1" applyBorder="1" applyAlignment="1">
      <alignment vertical="center" wrapText="1"/>
    </xf>
    <xf numFmtId="9" fontId="31" fillId="0" borderId="19" xfId="0" applyNumberFormat="1" applyFont="1" applyBorder="1" applyAlignment="1">
      <alignment vertical="center" wrapText="1"/>
    </xf>
    <xf numFmtId="0" fontId="36" fillId="0" borderId="19" xfId="0" applyFont="1" applyBorder="1" applyAlignment="1">
      <alignment vertical="center" wrapText="1"/>
    </xf>
    <xf numFmtId="0" fontId="25" fillId="0" borderId="10" xfId="0" applyFont="1" applyBorder="1" applyAlignment="1">
      <alignment horizontal="left" vertical="center" wrapText="1"/>
    </xf>
    <xf numFmtId="177" fontId="31" fillId="0" borderId="10" xfId="0" applyNumberFormat="1" applyFont="1" applyBorder="1" applyAlignment="1">
      <alignment horizontal="center" vertical="center" wrapText="1"/>
    </xf>
    <xf numFmtId="172" fontId="39" fillId="0" borderId="10" xfId="0" applyNumberFormat="1" applyFont="1" applyBorder="1" applyAlignment="1">
      <alignment horizontal="right" vertical="center" wrapText="1"/>
    </xf>
    <xf numFmtId="172" fontId="31" fillId="0" borderId="10" xfId="0" applyNumberFormat="1" applyFont="1" applyBorder="1" applyAlignment="1">
      <alignment horizontal="right" vertical="center" wrapText="1"/>
    </xf>
    <xf numFmtId="0" fontId="45" fillId="0" borderId="10" xfId="0" applyFont="1" applyBorder="1" applyAlignment="1">
      <alignment horizontal="center" vertical="center" wrapText="1"/>
    </xf>
    <xf numFmtId="172" fontId="39" fillId="0" borderId="10" xfId="0" applyNumberFormat="1" applyFont="1" applyBorder="1" applyAlignment="1">
      <alignment horizontal="right" vertical="center"/>
    </xf>
    <xf numFmtId="0" fontId="55" fillId="0" borderId="10" xfId="0" applyFont="1" applyBorder="1" applyAlignment="1">
      <alignment horizontal="left" vertical="center" wrapText="1"/>
    </xf>
    <xf numFmtId="176" fontId="39" fillId="0" borderId="10" xfId="0" applyNumberFormat="1" applyFont="1" applyBorder="1" applyAlignment="1">
      <alignment horizontal="left" vertical="center" wrapText="1"/>
    </xf>
    <xf numFmtId="0" fontId="45" fillId="0" borderId="10" xfId="0" applyFont="1" applyBorder="1" applyAlignment="1">
      <alignment vertical="center"/>
    </xf>
    <xf numFmtId="176" fontId="31" fillId="0" borderId="10" xfId="0" applyNumberFormat="1" applyFont="1" applyBorder="1" applyAlignment="1">
      <alignment horizontal="left" vertical="center" wrapText="1"/>
    </xf>
    <xf numFmtId="9" fontId="30" fillId="0" borderId="10" xfId="0" applyNumberFormat="1" applyFont="1" applyBorder="1" applyAlignment="1">
      <alignment horizontal="center" vertical="center" wrapText="1"/>
    </xf>
    <xf numFmtId="172" fontId="30" fillId="0" borderId="10" xfId="0" applyNumberFormat="1" applyFont="1" applyBorder="1" applyAlignment="1">
      <alignment horizontal="center" vertical="center" wrapText="1"/>
    </xf>
    <xf numFmtId="176" fontId="30" fillId="0" borderId="10" xfId="0" applyNumberFormat="1" applyFont="1" applyBorder="1" applyAlignment="1">
      <alignment horizontal="left" vertical="center" wrapText="1"/>
    </xf>
    <xf numFmtId="3" fontId="30" fillId="0" borderId="10" xfId="0" applyNumberFormat="1" applyFont="1" applyBorder="1" applyAlignment="1">
      <alignment horizontal="center" vertical="center"/>
    </xf>
    <xf numFmtId="9" fontId="30" fillId="0" borderId="10" xfId="0" applyNumberFormat="1" applyFont="1" applyBorder="1" applyAlignment="1">
      <alignment vertical="center"/>
    </xf>
    <xf numFmtId="3" fontId="30" fillId="0" borderId="10" xfId="0" applyNumberFormat="1" applyFont="1" applyBorder="1" applyAlignment="1">
      <alignment horizontal="center" vertical="center" wrapText="1"/>
    </xf>
    <xf numFmtId="177" fontId="42" fillId="0" borderId="10" xfId="0" applyNumberFormat="1" applyFont="1" applyBorder="1" applyAlignment="1">
      <alignment horizontal="center" vertical="center"/>
    </xf>
    <xf numFmtId="172" fontId="56" fillId="0" borderId="10" xfId="0" applyNumberFormat="1" applyFont="1" applyBorder="1" applyAlignment="1">
      <alignment vertical="center" wrapText="1"/>
    </xf>
    <xf numFmtId="10" fontId="31" fillId="0" borderId="10" xfId="0" applyNumberFormat="1" applyFont="1" applyBorder="1" applyAlignment="1">
      <alignment horizontal="right" vertical="center" wrapText="1"/>
    </xf>
    <xf numFmtId="9" fontId="31" fillId="0" borderId="10" xfId="0" applyNumberFormat="1" applyFont="1" applyBorder="1" applyAlignment="1">
      <alignment horizontal="right" vertical="center" wrapText="1"/>
    </xf>
    <xf numFmtId="3" fontId="32" fillId="0" borderId="10" xfId="0" applyNumberFormat="1" applyFont="1" applyBorder="1" applyAlignment="1">
      <alignment horizontal="center" vertical="center" wrapText="1"/>
    </xf>
    <xf numFmtId="9" fontId="32" fillId="0" borderId="10" xfId="0" applyNumberFormat="1" applyFont="1" applyBorder="1" applyAlignment="1">
      <alignment vertical="center" wrapText="1"/>
    </xf>
    <xf numFmtId="0" fontId="56" fillId="0" borderId="10" xfId="0" applyFont="1" applyBorder="1" applyAlignment="1">
      <alignment vertical="center"/>
    </xf>
    <xf numFmtId="0" fontId="42" fillId="0" borderId="10" xfId="0" applyFont="1" applyBorder="1" applyAlignment="1">
      <alignment vertical="center"/>
    </xf>
    <xf numFmtId="0" fontId="36" fillId="0" borderId="10" xfId="43" applyFont="1" applyBorder="1" applyAlignment="1">
      <alignment horizontal="left" vertical="center" wrapText="1"/>
    </xf>
    <xf numFmtId="9" fontId="30" fillId="0" borderId="10" xfId="0" applyNumberFormat="1" applyFont="1" applyBorder="1" applyAlignment="1">
      <alignment horizontal="right" vertical="center" wrapText="1"/>
    </xf>
    <xf numFmtId="0" fontId="57" fillId="0" borderId="10" xfId="0" applyFont="1" applyBorder="1" applyAlignment="1">
      <alignment vertical="center"/>
    </xf>
    <xf numFmtId="9" fontId="39" fillId="0" borderId="10" xfId="0" applyNumberFormat="1" applyFont="1" applyBorder="1" applyAlignment="1">
      <alignment horizontal="center" vertical="center" wrapText="1"/>
    </xf>
    <xf numFmtId="3" fontId="31" fillId="0" borderId="19" xfId="0" applyNumberFormat="1" applyFont="1" applyBorder="1" applyAlignment="1">
      <alignment vertical="center" wrapText="1"/>
    </xf>
    <xf numFmtId="172" fontId="31" fillId="0" borderId="19" xfId="0" applyNumberFormat="1" applyFont="1" applyBorder="1" applyAlignment="1">
      <alignment vertical="center" wrapText="1"/>
    </xf>
    <xf numFmtId="177" fontId="61" fillId="0" borderId="10" xfId="0" applyNumberFormat="1" applyFont="1" applyBorder="1" applyAlignment="1">
      <alignment horizontal="right" vertical="center" wrapText="1"/>
    </xf>
    <xf numFmtId="0" fontId="62" fillId="0" borderId="10" xfId="0" applyFont="1" applyBorder="1" applyAlignment="1">
      <alignment vertical="center" wrapText="1"/>
    </xf>
    <xf numFmtId="0" fontId="62" fillId="0" borderId="10" xfId="0" applyFont="1" applyBorder="1" applyAlignment="1">
      <alignment horizontal="right" vertical="center" wrapText="1"/>
    </xf>
    <xf numFmtId="3" fontId="62" fillId="0" borderId="10" xfId="0" applyNumberFormat="1" applyFont="1" applyBorder="1" applyAlignment="1">
      <alignment vertical="center" wrapText="1"/>
    </xf>
    <xf numFmtId="0" fontId="62" fillId="0" borderId="10" xfId="0" applyFont="1" applyBorder="1" applyAlignment="1">
      <alignment vertical="center"/>
    </xf>
    <xf numFmtId="0" fontId="64" fillId="0" borderId="10" xfId="0" applyFont="1" applyBorder="1" applyAlignment="1">
      <alignment vertical="center"/>
    </xf>
    <xf numFmtId="0" fontId="62" fillId="0" borderId="10" xfId="0" applyFont="1" applyBorder="1" applyAlignment="1">
      <alignment horizontal="center" vertical="center"/>
    </xf>
    <xf numFmtId="172" fontId="62" fillId="0" borderId="10" xfId="0" applyNumberFormat="1" applyFont="1" applyBorder="1" applyAlignment="1">
      <alignment vertical="center"/>
    </xf>
    <xf numFmtId="172" fontId="62" fillId="0" borderId="10" xfId="0" applyNumberFormat="1" applyFont="1" applyBorder="1" applyAlignment="1">
      <alignment horizontal="right" vertical="center" wrapText="1"/>
    </xf>
    <xf numFmtId="0" fontId="65" fillId="0" borderId="18" xfId="0" applyFont="1" applyBorder="1" applyAlignment="1">
      <alignment vertical="center"/>
    </xf>
    <xf numFmtId="0" fontId="65" fillId="0" borderId="18" xfId="0" applyFont="1" applyBorder="1" applyAlignment="1">
      <alignment horizontal="center" vertical="center"/>
    </xf>
    <xf numFmtId="0" fontId="66" fillId="0" borderId="18" xfId="0" applyFont="1" applyBorder="1" applyAlignment="1">
      <alignment horizontal="left" vertical="center"/>
    </xf>
    <xf numFmtId="0" fontId="65" fillId="0" borderId="18" xfId="0" applyFont="1" applyBorder="1" applyAlignment="1">
      <alignment horizontal="left" vertical="center" wrapText="1"/>
    </xf>
    <xf numFmtId="0" fontId="65" fillId="0" borderId="18" xfId="0" applyFont="1" applyBorder="1" applyAlignment="1">
      <alignment horizontal="left" vertical="center"/>
    </xf>
    <xf numFmtId="3" fontId="62" fillId="0" borderId="18" xfId="0" applyNumberFormat="1" applyFont="1" applyBorder="1" applyAlignment="1">
      <alignment vertical="center" wrapText="1"/>
    </xf>
    <xf numFmtId="0" fontId="62" fillId="0" borderId="18" xfId="0" applyFont="1" applyBorder="1" applyAlignment="1">
      <alignment horizontal="right" vertical="center" wrapText="1"/>
    </xf>
    <xf numFmtId="0" fontId="61" fillId="0" borderId="18" xfId="0" applyFont="1" applyBorder="1" applyAlignment="1">
      <alignment horizontal="left" vertical="center" wrapText="1"/>
    </xf>
    <xf numFmtId="0" fontId="62" fillId="0" borderId="18" xfId="0" applyFont="1" applyBorder="1" applyAlignment="1">
      <alignment vertical="center"/>
    </xf>
    <xf numFmtId="0" fontId="62" fillId="0" borderId="18" xfId="0" applyFont="1" applyBorder="1" applyAlignment="1">
      <alignment horizontal="center" vertical="center"/>
    </xf>
    <xf numFmtId="0" fontId="65" fillId="0" borderId="10" xfId="0" applyFont="1" applyBorder="1" applyAlignment="1">
      <alignment vertical="center"/>
    </xf>
    <xf numFmtId="0" fontId="65" fillId="0" borderId="10" xfId="0" applyFont="1" applyBorder="1" applyAlignment="1">
      <alignment horizontal="center" vertical="center"/>
    </xf>
    <xf numFmtId="0" fontId="65" fillId="0" borderId="10" xfId="0" applyFont="1" applyBorder="1" applyAlignment="1">
      <alignment horizontal="left" vertical="center" wrapText="1"/>
    </xf>
    <xf numFmtId="0" fontId="65" fillId="0" borderId="10" xfId="0" applyFont="1" applyBorder="1" applyAlignment="1">
      <alignment horizontal="left" vertical="center"/>
    </xf>
    <xf numFmtId="0" fontId="64" fillId="0" borderId="10" xfId="0" applyFont="1" applyBorder="1" applyAlignment="1">
      <alignment horizontal="center" vertical="center" wrapText="1"/>
    </xf>
    <xf numFmtId="0" fontId="64" fillId="0" borderId="10" xfId="0" applyFont="1" applyBorder="1" applyAlignment="1">
      <alignment horizontal="left" vertical="center" wrapText="1"/>
    </xf>
    <xf numFmtId="177" fontId="62" fillId="0" borderId="10" xfId="0" applyNumberFormat="1" applyFont="1" applyBorder="1" applyAlignment="1">
      <alignment horizontal="right" vertical="center" wrapText="1"/>
    </xf>
    <xf numFmtId="0" fontId="67" fillId="0" borderId="10" xfId="0" applyFont="1" applyBorder="1" applyAlignment="1">
      <alignment horizontal="center" vertical="center" wrapText="1"/>
    </xf>
    <xf numFmtId="0" fontId="60" fillId="0" borderId="10" xfId="0" applyFont="1" applyBorder="1" applyAlignment="1">
      <alignment vertical="center" wrapText="1"/>
    </xf>
    <xf numFmtId="0" fontId="36" fillId="0" borderId="10" xfId="38" applyFont="1" applyBorder="1" applyAlignment="1">
      <alignment vertical="center" wrapText="1"/>
    </xf>
    <xf numFmtId="0" fontId="64" fillId="0" borderId="10" xfId="0" applyFont="1" applyBorder="1" applyAlignment="1">
      <alignment horizontal="center" vertical="center"/>
    </xf>
    <xf numFmtId="0" fontId="36" fillId="0" borderId="10" xfId="38" applyFont="1" applyBorder="1" applyAlignment="1">
      <alignment horizontal="left" vertical="center" wrapText="1"/>
    </xf>
    <xf numFmtId="0" fontId="65" fillId="0" borderId="10" xfId="0" applyFont="1" applyBorder="1" applyAlignment="1">
      <alignment horizontal="center" vertical="center" wrapText="1"/>
    </xf>
    <xf numFmtId="172" fontId="40" fillId="0" borderId="10" xfId="0" applyNumberFormat="1" applyFont="1" applyBorder="1" applyAlignment="1">
      <alignment vertical="center"/>
    </xf>
    <xf numFmtId="0" fontId="68" fillId="0" borderId="10" xfId="0" applyFont="1" applyBorder="1" applyAlignment="1">
      <alignment vertical="center" wrapText="1"/>
    </xf>
    <xf numFmtId="3" fontId="25" fillId="0" borderId="10" xfId="0" applyNumberFormat="1" applyFont="1" applyBorder="1" applyAlignment="1">
      <alignment horizontal="center" vertical="center" wrapText="1"/>
    </xf>
    <xf numFmtId="9" fontId="25" fillId="0" borderId="10" xfId="0" applyNumberFormat="1" applyFont="1" applyBorder="1" applyAlignment="1">
      <alignment vertical="center" wrapText="1"/>
    </xf>
    <xf numFmtId="1" fontId="25" fillId="0" borderId="10" xfId="0" applyNumberFormat="1" applyFont="1" applyBorder="1" applyAlignment="1">
      <alignment vertical="center" wrapText="1"/>
    </xf>
    <xf numFmtId="172" fontId="25" fillId="0" borderId="10" xfId="0" applyNumberFormat="1" applyFont="1" applyBorder="1" applyAlignment="1">
      <alignment horizontal="right" vertical="center" wrapText="1"/>
    </xf>
    <xf numFmtId="3" fontId="25" fillId="0" borderId="10" xfId="0" applyNumberFormat="1" applyFont="1" applyBorder="1" applyAlignment="1">
      <alignment horizontal="right" vertical="center"/>
    </xf>
    <xf numFmtId="172" fontId="25" fillId="0" borderId="10" xfId="0" applyNumberFormat="1" applyFont="1" applyBorder="1" applyAlignment="1">
      <alignment vertical="center"/>
    </xf>
    <xf numFmtId="0" fontId="8" fillId="0" borderId="10" xfId="0" applyFont="1" applyBorder="1" applyAlignment="1">
      <alignment vertical="center"/>
    </xf>
    <xf numFmtId="3" fontId="25" fillId="0" borderId="10" xfId="0" applyNumberFormat="1" applyFont="1" applyBorder="1" applyAlignment="1">
      <alignment vertical="center" wrapText="1"/>
    </xf>
    <xf numFmtId="172" fontId="31" fillId="0" borderId="10" xfId="63" applyNumberFormat="1" applyFont="1" applyBorder="1" applyAlignment="1">
      <alignment horizontal="center" vertical="center"/>
    </xf>
    <xf numFmtId="179" fontId="31" fillId="0" borderId="10" xfId="0" applyNumberFormat="1" applyFont="1" applyBorder="1" applyAlignment="1">
      <alignment horizontal="center" vertical="center" wrapText="1"/>
    </xf>
    <xf numFmtId="0" fontId="37" fillId="0" borderId="0" xfId="0" applyFont="1" applyAlignment="1">
      <alignment vertical="center"/>
    </xf>
    <xf numFmtId="0" fontId="37" fillId="0" borderId="0" xfId="0" applyFont="1" applyAlignment="1">
      <alignment horizontal="center" vertical="center"/>
    </xf>
    <xf numFmtId="0" fontId="61" fillId="0" borderId="10" xfId="0" applyFont="1" applyBorder="1" applyAlignment="1">
      <alignment vertical="center" wrapText="1"/>
    </xf>
    <xf numFmtId="0" fontId="32" fillId="4" borderId="18" xfId="0" applyFont="1" applyFill="1" applyBorder="1" applyAlignment="1">
      <alignment horizontal="left" vertical="center" wrapText="1"/>
    </xf>
    <xf numFmtId="0" fontId="32" fillId="0" borderId="13" xfId="0" applyFont="1" applyBorder="1" applyAlignment="1">
      <alignment vertical="center"/>
    </xf>
    <xf numFmtId="3" fontId="39" fillId="0" borderId="13" xfId="0" applyNumberFormat="1" applyFont="1" applyBorder="1" applyAlignment="1">
      <alignment vertical="center" wrapText="1"/>
    </xf>
    <xf numFmtId="0" fontId="39" fillId="0" borderId="13" xfId="0" applyFont="1" applyBorder="1" applyAlignment="1">
      <alignment horizontal="left" vertical="center" wrapText="1"/>
    </xf>
    <xf numFmtId="0" fontId="39" fillId="0" borderId="13" xfId="0" applyFont="1" applyBorder="1" applyAlignment="1">
      <alignment vertical="center"/>
    </xf>
    <xf numFmtId="0" fontId="32" fillId="4" borderId="10" xfId="0" applyFont="1" applyFill="1" applyBorder="1" applyAlignment="1">
      <alignment horizontal="left" vertical="center" wrapText="1"/>
    </xf>
    <xf numFmtId="0" fontId="30" fillId="4" borderId="10" xfId="0" applyFont="1" applyFill="1" applyBorder="1" applyAlignment="1">
      <alignment horizontal="left" vertical="center" wrapText="1"/>
    </xf>
    <xf numFmtId="3" fontId="30" fillId="0" borderId="10" xfId="0" applyNumberFormat="1" applyFont="1" applyBorder="1" applyAlignment="1">
      <alignment vertical="center"/>
    </xf>
    <xf numFmtId="0" fontId="39" fillId="4" borderId="10" xfId="0" applyFont="1" applyFill="1" applyBorder="1" applyAlignment="1">
      <alignment horizontal="center" vertical="center"/>
    </xf>
    <xf numFmtId="172" fontId="39" fillId="0" borderId="10" xfId="0" applyNumberFormat="1" applyFont="1" applyBorder="1" applyAlignment="1">
      <alignment horizontal="center" vertical="center"/>
    </xf>
    <xf numFmtId="9" fontId="8" fillId="0" borderId="30" xfId="79" applyFont="1" applyFill="1" applyBorder="1" applyAlignment="1">
      <alignment horizontal="center" vertical="center"/>
    </xf>
    <xf numFmtId="0" fontId="8" fillId="0" borderId="30" xfId="0" applyFont="1" applyBorder="1" applyAlignment="1">
      <alignment horizontal="left" vertical="center"/>
    </xf>
    <xf numFmtId="0" fontId="8" fillId="0" borderId="30" xfId="0" applyFont="1" applyBorder="1" applyAlignment="1">
      <alignment horizontal="center" vertical="center"/>
    </xf>
    <xf numFmtId="3" fontId="8" fillId="0" borderId="30" xfId="49" applyNumberFormat="1" applyFont="1" applyBorder="1" applyAlignment="1">
      <alignment vertical="center" wrapText="1"/>
    </xf>
    <xf numFmtId="0" fontId="8" fillId="0" borderId="30" xfId="49" applyFont="1" applyBorder="1" applyAlignment="1">
      <alignment horizontal="left" vertical="center" wrapText="1"/>
    </xf>
    <xf numFmtId="3" fontId="8" fillId="0" borderId="30" xfId="0" applyNumberFormat="1" applyFont="1" applyBorder="1" applyAlignment="1">
      <alignment vertical="center"/>
    </xf>
    <xf numFmtId="0" fontId="8" fillId="0" borderId="30" xfId="49" applyFont="1" applyBorder="1" applyAlignment="1">
      <alignment vertical="center"/>
    </xf>
    <xf numFmtId="0" fontId="31" fillId="4" borderId="34" xfId="0" applyFont="1" applyFill="1" applyBorder="1" applyAlignment="1">
      <alignment horizontal="center" vertical="center"/>
    </xf>
    <xf numFmtId="0" fontId="2" fillId="0" borderId="30" xfId="45" applyFont="1" applyBorder="1" applyAlignment="1">
      <alignment horizontal="center" vertical="center"/>
    </xf>
    <xf numFmtId="0" fontId="25" fillId="0" borderId="30" xfId="0" applyFont="1" applyBorder="1" applyAlignment="1">
      <alignment horizontal="left" vertical="center" wrapText="1"/>
    </xf>
    <xf numFmtId="3" fontId="25" fillId="0" borderId="30" xfId="0" applyNumberFormat="1" applyFont="1" applyBorder="1" applyAlignment="1">
      <alignment vertical="center"/>
    </xf>
    <xf numFmtId="172" fontId="25" fillId="0" borderId="30" xfId="0" applyNumberFormat="1" applyFont="1" applyBorder="1" applyAlignment="1">
      <alignment vertical="center"/>
    </xf>
    <xf numFmtId="172" fontId="25" fillId="0" borderId="33" xfId="0" applyNumberFormat="1" applyFont="1" applyBorder="1" applyAlignment="1">
      <alignment vertical="center"/>
    </xf>
    <xf numFmtId="0" fontId="2" fillId="0" borderId="35" xfId="44" applyFont="1" applyBorder="1" applyAlignment="1">
      <alignment vertical="center"/>
    </xf>
    <xf numFmtId="0" fontId="25" fillId="4" borderId="5" xfId="0" applyFont="1" applyFill="1" applyBorder="1" applyAlignment="1">
      <alignment horizontal="center" vertical="center"/>
    </xf>
    <xf numFmtId="172" fontId="8" fillId="0" borderId="30" xfId="79" applyNumberFormat="1" applyFont="1" applyFill="1" applyBorder="1" applyAlignment="1">
      <alignment horizontal="center" vertical="center"/>
    </xf>
    <xf numFmtId="1" fontId="25" fillId="0" borderId="30" xfId="0" applyNumberFormat="1" applyFont="1" applyBorder="1" applyAlignment="1">
      <alignment vertical="center"/>
    </xf>
    <xf numFmtId="14" fontId="25" fillId="0" borderId="4" xfId="44" applyNumberFormat="1" applyFont="1" applyBorder="1" applyAlignment="1">
      <alignment vertical="center"/>
    </xf>
    <xf numFmtId="0" fontId="25" fillId="0" borderId="27" xfId="0" applyFont="1" applyBorder="1" applyAlignment="1">
      <alignment horizontal="left" vertical="center" wrapText="1"/>
    </xf>
    <xf numFmtId="3" fontId="25" fillId="0" borderId="27" xfId="0" applyNumberFormat="1" applyFont="1" applyBorder="1" applyAlignment="1">
      <alignment vertical="center"/>
    </xf>
    <xf numFmtId="0" fontId="25" fillId="0" borderId="30" xfId="0" applyFont="1" applyBorder="1" applyAlignment="1">
      <alignment horizontal="center" vertical="center"/>
    </xf>
    <xf numFmtId="172" fontId="25" fillId="0" borderId="5" xfId="0" applyNumberFormat="1" applyFont="1" applyBorder="1" applyAlignment="1">
      <alignment vertical="center"/>
    </xf>
    <xf numFmtId="0" fontId="25" fillId="4" borderId="30" xfId="0" applyFont="1" applyFill="1" applyBorder="1" applyAlignment="1">
      <alignment horizontal="center" vertical="center"/>
    </xf>
    <xf numFmtId="10" fontId="25" fillId="0" borderId="4" xfId="45" applyNumberFormat="1" applyFont="1" applyBorder="1" applyAlignment="1">
      <alignment horizontal="center" vertical="center"/>
    </xf>
    <xf numFmtId="3" fontId="25" fillId="0" borderId="5" xfId="0" applyNumberFormat="1" applyFont="1" applyBorder="1" applyAlignment="1">
      <alignment vertical="center"/>
    </xf>
    <xf numFmtId="0" fontId="2" fillId="0" borderId="30" xfId="49" applyFont="1" applyBorder="1" applyAlignment="1">
      <alignment horizontal="center" vertical="center"/>
    </xf>
    <xf numFmtId="0" fontId="2" fillId="0" borderId="30" xfId="49" applyFont="1" applyBorder="1" applyAlignment="1">
      <alignment vertical="center"/>
    </xf>
    <xf numFmtId="3" fontId="2" fillId="0" borderId="30" xfId="49" applyNumberFormat="1" applyFont="1" applyBorder="1" applyAlignment="1">
      <alignment vertical="center" wrapText="1"/>
    </xf>
    <xf numFmtId="9" fontId="8" fillId="0" borderId="30" xfId="45" applyNumberFormat="1" applyFont="1" applyBorder="1" applyAlignment="1">
      <alignment horizontal="center" vertical="center"/>
    </xf>
    <xf numFmtId="0" fontId="31" fillId="4" borderId="10" xfId="0" applyFont="1" applyFill="1" applyBorder="1" applyAlignment="1">
      <alignment horizontal="center" vertical="center"/>
    </xf>
    <xf numFmtId="0" fontId="2" fillId="0" borderId="36" xfId="45" applyFont="1" applyBorder="1" applyAlignment="1">
      <alignment horizontal="center" vertical="center"/>
    </xf>
    <xf numFmtId="172" fontId="25" fillId="0" borderId="36" xfId="79" applyNumberFormat="1" applyFont="1" applyFill="1" applyBorder="1" applyAlignment="1">
      <alignment horizontal="center" vertical="center"/>
    </xf>
    <xf numFmtId="172" fontId="25" fillId="0" borderId="30" xfId="79" applyNumberFormat="1" applyFont="1" applyFill="1" applyBorder="1" applyAlignment="1">
      <alignment vertical="center" wrapText="1"/>
    </xf>
    <xf numFmtId="0" fontId="31" fillId="0" borderId="19" xfId="0" applyFont="1" applyBorder="1" applyAlignment="1">
      <alignment horizontal="center" vertical="center"/>
    </xf>
    <xf numFmtId="9" fontId="25" fillId="0" borderId="38" xfId="43" applyNumberFormat="1" applyFont="1" applyBorder="1" applyAlignment="1">
      <alignment horizontal="center" vertical="center"/>
    </xf>
    <xf numFmtId="0" fontId="25" fillId="0" borderId="39" xfId="0" applyFont="1" applyBorder="1" applyAlignment="1">
      <alignment horizontal="left" vertical="center" wrapText="1"/>
    </xf>
    <xf numFmtId="3" fontId="25" fillId="0" borderId="39" xfId="0" applyNumberFormat="1" applyFont="1" applyBorder="1" applyAlignment="1">
      <alignment vertical="center"/>
    </xf>
    <xf numFmtId="172" fontId="25" fillId="0" borderId="39" xfId="0" applyNumberFormat="1" applyFont="1" applyBorder="1" applyAlignment="1">
      <alignment vertical="center"/>
    </xf>
    <xf numFmtId="172" fontId="25" fillId="0" borderId="39" xfId="79" applyNumberFormat="1" applyFont="1" applyFill="1" applyBorder="1" applyAlignment="1">
      <alignment vertical="center" wrapText="1"/>
    </xf>
    <xf numFmtId="172" fontId="25" fillId="0" borderId="39" xfId="79" applyNumberFormat="1" applyFont="1" applyFill="1" applyBorder="1" applyAlignment="1">
      <alignment vertical="center"/>
    </xf>
    <xf numFmtId="0" fontId="3" fillId="0" borderId="0" xfId="0" applyFont="1" applyAlignment="1">
      <alignment vertical="center"/>
    </xf>
    <xf numFmtId="0" fontId="25" fillId="4" borderId="0" xfId="0" applyFont="1" applyFill="1" applyAlignment="1">
      <alignment horizontal="center" vertical="center"/>
    </xf>
    <xf numFmtId="0" fontId="25" fillId="0" borderId="0" xfId="0" applyFont="1" applyAlignment="1">
      <alignment horizontal="center" vertical="center" wrapText="1"/>
    </xf>
    <xf numFmtId="0" fontId="8" fillId="0" borderId="0" xfId="0" applyFont="1" applyAlignment="1">
      <alignment vertical="center"/>
    </xf>
    <xf numFmtId="0" fontId="8" fillId="4" borderId="0" xfId="0" applyFont="1" applyFill="1" applyAlignment="1">
      <alignment vertical="center"/>
    </xf>
    <xf numFmtId="172" fontId="25" fillId="0" borderId="0" xfId="79" applyNumberFormat="1" applyFont="1" applyFill="1" applyBorder="1" applyAlignment="1">
      <alignment vertical="center"/>
    </xf>
    <xf numFmtId="0" fontId="31" fillId="0" borderId="30" xfId="44" applyFont="1" applyBorder="1" applyAlignment="1">
      <alignment vertical="center" wrapText="1"/>
    </xf>
    <xf numFmtId="0" fontId="70" fillId="0" borderId="0" xfId="43" applyFont="1" applyAlignment="1">
      <alignment vertical="center"/>
    </xf>
    <xf numFmtId="0" fontId="25" fillId="0" borderId="39" xfId="44" applyFont="1" applyBorder="1" applyAlignment="1">
      <alignment vertical="center" wrapText="1"/>
    </xf>
    <xf numFmtId="0" fontId="25" fillId="0" borderId="0" xfId="45" applyFont="1" applyAlignment="1">
      <alignment vertical="center" wrapText="1"/>
    </xf>
    <xf numFmtId="9" fontId="25" fillId="0" borderId="0" xfId="45" applyNumberFormat="1" applyFont="1" applyAlignment="1">
      <alignment vertical="center"/>
    </xf>
    <xf numFmtId="0" fontId="25" fillId="4" borderId="39" xfId="0" applyFont="1" applyFill="1" applyBorder="1" applyAlignment="1">
      <alignment horizontal="center" vertical="center"/>
    </xf>
    <xf numFmtId="14" fontId="25" fillId="0" borderId="41" xfId="44" applyNumberFormat="1" applyFont="1" applyBorder="1" applyAlignment="1">
      <alignment vertical="center"/>
    </xf>
    <xf numFmtId="0" fontId="25" fillId="0" borderId="0" xfId="0" applyFont="1" applyAlignment="1">
      <alignment horizontal="center" vertical="center"/>
    </xf>
    <xf numFmtId="0" fontId="25" fillId="0" borderId="0" xfId="0" applyFont="1" applyAlignment="1">
      <alignment horizontal="left" vertical="center" wrapText="1"/>
    </xf>
    <xf numFmtId="3" fontId="25" fillId="0" borderId="0" xfId="0" applyNumberFormat="1" applyFont="1" applyAlignment="1">
      <alignment vertical="center"/>
    </xf>
    <xf numFmtId="172" fontId="25" fillId="0" borderId="0" xfId="0" applyNumberFormat="1" applyFont="1" applyAlignment="1">
      <alignment vertical="center"/>
    </xf>
    <xf numFmtId="172" fontId="25" fillId="0" borderId="0" xfId="79" applyNumberFormat="1" applyFont="1" applyFill="1" applyBorder="1" applyAlignment="1">
      <alignment vertical="center" wrapText="1"/>
    </xf>
    <xf numFmtId="172" fontId="25" fillId="0" borderId="0" xfId="0" applyNumberFormat="1" applyFont="1" applyAlignment="1">
      <alignment horizontal="center" vertical="center"/>
    </xf>
    <xf numFmtId="14" fontId="25" fillId="0" borderId="0" xfId="44" applyNumberFormat="1" applyFont="1" applyAlignment="1">
      <alignment vertical="center"/>
    </xf>
    <xf numFmtId="0" fontId="31" fillId="0" borderId="0" xfId="44" applyFont="1" applyAlignment="1">
      <alignment vertical="center" wrapText="1"/>
    </xf>
    <xf numFmtId="172" fontId="25" fillId="0" borderId="0" xfId="43" applyNumberFormat="1" applyFont="1" applyAlignment="1">
      <alignment horizontal="center" vertical="center"/>
    </xf>
    <xf numFmtId="0" fontId="38" fillId="9" borderId="0" xfId="0" applyFont="1" applyFill="1" applyAlignment="1">
      <alignment vertical="center"/>
    </xf>
    <xf numFmtId="0" fontId="61" fillId="0" borderId="10" xfId="0" applyFont="1" applyBorder="1" applyAlignment="1">
      <alignment horizontal="center" vertical="center"/>
    </xf>
    <xf numFmtId="0" fontId="61" fillId="0" borderId="10" xfId="0" applyFont="1" applyBorder="1" applyAlignment="1">
      <alignment horizontal="center" vertical="center" wrapText="1"/>
    </xf>
    <xf numFmtId="0" fontId="8" fillId="0" borderId="42" xfId="0" applyFont="1" applyBorder="1" applyAlignment="1">
      <alignment horizontal="center" vertical="center" wrapText="1"/>
    </xf>
    <xf numFmtId="0" fontId="70" fillId="0" borderId="42" xfId="0" applyFont="1" applyBorder="1" applyAlignment="1">
      <alignment horizontal="center" vertical="center"/>
    </xf>
    <xf numFmtId="0" fontId="6" fillId="0" borderId="42" xfId="0" applyFont="1" applyBorder="1" applyAlignment="1">
      <alignment vertical="center"/>
    </xf>
    <xf numFmtId="0" fontId="8" fillId="0" borderId="42" xfId="0" applyFont="1" applyBorder="1" applyAlignment="1">
      <alignment horizontal="left" vertical="center" wrapText="1"/>
    </xf>
    <xf numFmtId="0" fontId="8" fillId="0" borderId="42" xfId="0" applyFont="1" applyBorder="1" applyAlignment="1">
      <alignment vertical="center"/>
    </xf>
    <xf numFmtId="0" fontId="8" fillId="0" borderId="42" xfId="0" applyFont="1" applyBorder="1" applyAlignment="1">
      <alignment horizontal="center" vertical="center"/>
    </xf>
    <xf numFmtId="3" fontId="8" fillId="0" borderId="42" xfId="0" applyNumberFormat="1" applyFont="1" applyBorder="1" applyAlignment="1">
      <alignment vertical="center" wrapText="1"/>
    </xf>
    <xf numFmtId="0" fontId="3" fillId="0" borderId="42" xfId="0" applyFont="1" applyBorder="1" applyAlignment="1">
      <alignment horizontal="justify" vertical="center"/>
    </xf>
    <xf numFmtId="0" fontId="70" fillId="0" borderId="43" xfId="44" applyFont="1" applyBorder="1" applyAlignment="1">
      <alignment vertical="center"/>
    </xf>
    <xf numFmtId="0" fontId="8" fillId="0" borderId="30" xfId="0" applyFont="1" applyBorder="1" applyAlignment="1">
      <alignment vertical="center"/>
    </xf>
    <xf numFmtId="1" fontId="70" fillId="0" borderId="30" xfId="0" applyNumberFormat="1" applyFont="1" applyBorder="1" applyAlignment="1">
      <alignment horizontal="center" vertical="center" wrapText="1"/>
    </xf>
    <xf numFmtId="0" fontId="70" fillId="0" borderId="30" xfId="0" applyFont="1" applyBorder="1" applyAlignment="1">
      <alignment vertical="center" wrapText="1"/>
    </xf>
    <xf numFmtId="0" fontId="8" fillId="0" borderId="30" xfId="0" applyFont="1" applyBorder="1" applyAlignment="1">
      <alignment horizontal="left" vertical="center" wrapText="1"/>
    </xf>
    <xf numFmtId="3" fontId="8" fillId="0" borderId="30" xfId="0" applyNumberFormat="1" applyFont="1" applyBorder="1" applyAlignment="1">
      <alignment vertical="center" wrapText="1"/>
    </xf>
    <xf numFmtId="172" fontId="8" fillId="0" borderId="30" xfId="0" applyNumberFormat="1" applyFont="1" applyBorder="1" applyAlignment="1">
      <alignment vertical="center"/>
    </xf>
    <xf numFmtId="0" fontId="3" fillId="0" borderId="30" xfId="0" applyFont="1" applyBorder="1" applyAlignment="1">
      <alignment horizontal="justify" vertical="center"/>
    </xf>
    <xf numFmtId="0" fontId="70" fillId="0" borderId="5" xfId="44" applyFont="1" applyBorder="1" applyAlignment="1">
      <alignment horizontal="center" vertical="center"/>
    </xf>
    <xf numFmtId="0" fontId="8" fillId="0" borderId="30" xfId="0" applyFont="1" applyBorder="1" applyAlignment="1">
      <alignment horizontal="center" vertical="center" wrapText="1"/>
    </xf>
    <xf numFmtId="1" fontId="2" fillId="0" borderId="30" xfId="0" applyNumberFormat="1" applyFont="1" applyBorder="1" applyAlignment="1">
      <alignment horizontal="center" vertical="center" wrapText="1"/>
    </xf>
    <xf numFmtId="0" fontId="2" fillId="0" borderId="30" xfId="0" applyFont="1" applyBorder="1" applyAlignment="1">
      <alignment vertical="center" wrapText="1"/>
    </xf>
    <xf numFmtId="0" fontId="8" fillId="0" borderId="30" xfId="0" applyFont="1" applyBorder="1" applyAlignment="1">
      <alignment vertical="center" wrapText="1"/>
    </xf>
    <xf numFmtId="0" fontId="8" fillId="0" borderId="30" xfId="0" applyFont="1" applyBorder="1" applyAlignment="1">
      <alignment horizontal="right" vertical="center" wrapText="1"/>
    </xf>
    <xf numFmtId="14" fontId="8" fillId="0" borderId="30" xfId="0" applyNumberFormat="1" applyFont="1" applyBorder="1" applyAlignment="1">
      <alignment horizontal="right" vertical="center" wrapText="1"/>
    </xf>
    <xf numFmtId="0" fontId="2" fillId="0" borderId="5" xfId="44" applyFont="1" applyBorder="1" applyAlignment="1">
      <alignment horizontal="center" vertical="center"/>
    </xf>
    <xf numFmtId="1" fontId="8" fillId="0" borderId="30" xfId="0" applyNumberFormat="1" applyFont="1" applyBorder="1" applyAlignment="1">
      <alignment horizontal="center" vertical="center" wrapText="1"/>
    </xf>
    <xf numFmtId="0" fontId="8" fillId="0" borderId="5" xfId="44" applyFont="1" applyBorder="1" applyAlignment="1">
      <alignment horizontal="center" vertical="center"/>
    </xf>
    <xf numFmtId="0" fontId="25" fillId="0" borderId="30" xfId="0" applyFont="1" applyBorder="1" applyAlignment="1">
      <alignment vertical="center" wrapText="1"/>
    </xf>
    <xf numFmtId="0" fontId="25" fillId="0" borderId="30" xfId="0" applyFont="1" applyBorder="1" applyAlignment="1">
      <alignment vertical="center"/>
    </xf>
    <xf numFmtId="0" fontId="12" fillId="0" borderId="30" xfId="0" applyFont="1" applyBorder="1" applyAlignment="1">
      <alignment vertical="center"/>
    </xf>
    <xf numFmtId="3" fontId="25" fillId="0" borderId="30" xfId="0" applyNumberFormat="1" applyFont="1" applyBorder="1" applyAlignment="1">
      <alignment vertical="center" wrapText="1"/>
    </xf>
    <xf numFmtId="172" fontId="25" fillId="0" borderId="30" xfId="0" applyNumberFormat="1" applyFont="1" applyBorder="1" applyAlignment="1">
      <alignment vertical="center" wrapText="1"/>
    </xf>
    <xf numFmtId="3" fontId="25" fillId="4" borderId="30" xfId="0" applyNumberFormat="1" applyFont="1" applyFill="1" applyBorder="1" applyAlignment="1">
      <alignment vertical="center"/>
    </xf>
    <xf numFmtId="14" fontId="25" fillId="0" borderId="30" xfId="0" applyNumberFormat="1" applyFont="1" applyBorder="1" applyAlignment="1">
      <alignment horizontal="center" vertical="center"/>
    </xf>
    <xf numFmtId="0" fontId="12" fillId="0" borderId="30" xfId="0" applyFont="1" applyBorder="1" applyAlignment="1">
      <alignment horizontal="justify" vertical="center"/>
    </xf>
    <xf numFmtId="0" fontId="25" fillId="0" borderId="5" xfId="44" applyFont="1" applyBorder="1" applyAlignment="1">
      <alignment horizontal="center" vertical="center"/>
    </xf>
    <xf numFmtId="0" fontId="25" fillId="0" borderId="30" xfId="0" applyFont="1" applyBorder="1" applyAlignment="1">
      <alignment horizontal="left" vertical="center"/>
    </xf>
    <xf numFmtId="0" fontId="25" fillId="0" borderId="30" xfId="49" applyFont="1" applyBorder="1" applyAlignment="1">
      <alignment vertical="center" wrapText="1"/>
    </xf>
    <xf numFmtId="0" fontId="25" fillId="0" borderId="34" xfId="0" applyFont="1" applyBorder="1" applyAlignment="1">
      <alignment horizontal="justify" vertical="top" wrapText="1"/>
    </xf>
    <xf numFmtId="0" fontId="25" fillId="0" borderId="5" xfId="44" applyFont="1" applyBorder="1" applyAlignment="1">
      <alignment horizontal="center" vertical="center" wrapText="1"/>
    </xf>
    <xf numFmtId="1" fontId="70" fillId="0" borderId="30" xfId="0" applyNumberFormat="1" applyFont="1" applyBorder="1" applyAlignment="1">
      <alignment horizontal="center" vertical="center"/>
    </xf>
    <xf numFmtId="14" fontId="8" fillId="0" borderId="30" xfId="0" applyNumberFormat="1" applyFont="1" applyBorder="1" applyAlignment="1">
      <alignment horizontal="center" vertical="center"/>
    </xf>
    <xf numFmtId="0" fontId="25" fillId="0" borderId="33" xfId="0" applyFont="1" applyBorder="1" applyAlignment="1">
      <alignment horizontal="justify" vertical="top" wrapText="1"/>
    </xf>
    <xf numFmtId="1" fontId="2" fillId="0" borderId="30" xfId="0" applyNumberFormat="1" applyFont="1" applyBorder="1" applyAlignment="1">
      <alignment horizontal="center" vertical="center"/>
    </xf>
    <xf numFmtId="0" fontId="25" fillId="0" borderId="30" xfId="0" applyFont="1" applyBorder="1" applyAlignment="1">
      <alignment horizontal="justify" vertical="top" wrapText="1"/>
    </xf>
    <xf numFmtId="1" fontId="8" fillId="0" borderId="30" xfId="0" applyNumberFormat="1" applyFont="1" applyBorder="1" applyAlignment="1">
      <alignment horizontal="center" vertical="center"/>
    </xf>
    <xf numFmtId="0" fontId="8" fillId="4" borderId="30" xfId="0" applyFont="1" applyFill="1" applyBorder="1" applyAlignment="1">
      <alignment horizontal="center" vertical="center"/>
    </xf>
    <xf numFmtId="0" fontId="8" fillId="0" borderId="5" xfId="44" applyFont="1" applyBorder="1" applyAlignment="1">
      <alignment horizontal="center" vertical="center" wrapText="1"/>
    </xf>
    <xf numFmtId="1" fontId="25" fillId="0" borderId="30" xfId="0" applyNumberFormat="1" applyFont="1" applyBorder="1" applyAlignment="1">
      <alignment horizontal="center" vertical="center"/>
    </xf>
    <xf numFmtId="10" fontId="25" fillId="0" borderId="30" xfId="0" applyNumberFormat="1" applyFont="1" applyBorder="1" applyAlignment="1">
      <alignment vertical="center"/>
    </xf>
    <xf numFmtId="1" fontId="8" fillId="0" borderId="30" xfId="0" applyNumberFormat="1" applyFont="1" applyBorder="1" applyAlignment="1">
      <alignment vertical="center"/>
    </xf>
    <xf numFmtId="0" fontId="70" fillId="0" borderId="30" xfId="0" applyFont="1" applyBorder="1" applyAlignment="1">
      <alignment horizontal="center" vertical="center"/>
    </xf>
    <xf numFmtId="0" fontId="70" fillId="0" borderId="30" xfId="0" applyFont="1" applyBorder="1" applyAlignment="1">
      <alignment vertical="center"/>
    </xf>
    <xf numFmtId="9" fontId="8" fillId="0" borderId="30" xfId="0" applyNumberFormat="1" applyFont="1" applyBorder="1" applyAlignment="1">
      <alignment vertical="center"/>
    </xf>
    <xf numFmtId="0" fontId="2" fillId="0" borderId="30" xfId="0" applyFont="1" applyBorder="1" applyAlignment="1">
      <alignment horizontal="center" vertical="center"/>
    </xf>
    <xf numFmtId="0" fontId="2" fillId="0" borderId="30" xfId="0" applyFont="1" applyBorder="1" applyAlignment="1">
      <alignment vertical="center"/>
    </xf>
    <xf numFmtId="0" fontId="8" fillId="0" borderId="30" xfId="45" applyFont="1" applyBorder="1" applyAlignment="1">
      <alignment horizontal="center" vertical="center"/>
    </xf>
    <xf numFmtId="172" fontId="25" fillId="0" borderId="27" xfId="0" applyNumberFormat="1" applyFont="1" applyBorder="1" applyAlignment="1">
      <alignment vertical="center"/>
    </xf>
    <xf numFmtId="0" fontId="25" fillId="0" borderId="27" xfId="0" applyFont="1" applyBorder="1" applyAlignment="1">
      <alignment vertical="center"/>
    </xf>
    <xf numFmtId="0" fontId="12" fillId="0" borderId="27" xfId="0" applyFont="1" applyBorder="1" applyAlignment="1">
      <alignment vertical="center"/>
    </xf>
    <xf numFmtId="0" fontId="71" fillId="0" borderId="14" xfId="0" applyFont="1" applyBorder="1" applyAlignment="1">
      <alignment horizontal="center" vertical="center" wrapText="1"/>
    </xf>
    <xf numFmtId="3" fontId="25" fillId="0" borderId="46" xfId="0" applyNumberFormat="1" applyFont="1" applyBorder="1" applyAlignment="1">
      <alignment vertical="center"/>
    </xf>
    <xf numFmtId="14" fontId="25" fillId="0" borderId="44" xfId="0" applyNumberFormat="1" applyFont="1" applyBorder="1" applyAlignment="1">
      <alignment horizontal="center" vertical="center"/>
    </xf>
    <xf numFmtId="14" fontId="25" fillId="0" borderId="27" xfId="0" applyNumberFormat="1" applyFont="1" applyBorder="1" applyAlignment="1">
      <alignment horizontal="center" vertical="center"/>
    </xf>
    <xf numFmtId="0" fontId="25" fillId="0" borderId="31" xfId="0" applyFont="1" applyBorder="1" applyAlignment="1">
      <alignment horizontal="center" vertical="center"/>
    </xf>
    <xf numFmtId="0" fontId="25" fillId="0" borderId="31" xfId="0" applyFont="1" applyBorder="1" applyAlignment="1">
      <alignment vertical="center" wrapText="1"/>
    </xf>
    <xf numFmtId="0" fontId="25" fillId="0" borderId="31" xfId="0" applyFont="1" applyBorder="1" applyAlignment="1">
      <alignment horizontal="left" vertical="center"/>
    </xf>
    <xf numFmtId="0" fontId="25" fillId="0" borderId="48" xfId="44" applyFont="1" applyBorder="1" applyAlignment="1">
      <alignment vertical="center" wrapText="1"/>
    </xf>
    <xf numFmtId="0" fontId="25" fillId="0" borderId="31" xfId="0" applyFont="1" applyBorder="1" applyAlignment="1">
      <alignment vertical="center"/>
    </xf>
    <xf numFmtId="172" fontId="25" fillId="0" borderId="31" xfId="0" applyNumberFormat="1" applyFont="1" applyBorder="1" applyAlignment="1">
      <alignment vertical="center"/>
    </xf>
    <xf numFmtId="3" fontId="25" fillId="0" borderId="31" xfId="0" applyNumberFormat="1" applyFont="1" applyBorder="1" applyAlignment="1">
      <alignment vertical="center"/>
    </xf>
    <xf numFmtId="172" fontId="25" fillId="0" borderId="32" xfId="0" applyNumberFormat="1" applyFont="1" applyBorder="1" applyAlignment="1">
      <alignment vertical="center"/>
    </xf>
    <xf numFmtId="14" fontId="25" fillId="0" borderId="31" xfId="0" applyNumberFormat="1" applyFont="1" applyBorder="1" applyAlignment="1">
      <alignment horizontal="center" vertical="center"/>
    </xf>
    <xf numFmtId="0" fontId="25" fillId="0" borderId="49" xfId="0" applyFont="1" applyBorder="1" applyAlignment="1">
      <alignment horizontal="justify" vertical="top"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172" fontId="2" fillId="0" borderId="0" xfId="0" applyNumberFormat="1" applyFont="1" applyAlignment="1">
      <alignment vertical="center"/>
    </xf>
    <xf numFmtId="0" fontId="25" fillId="0" borderId="0" xfId="0" applyFont="1" applyAlignment="1">
      <alignment horizontal="justify" vertical="top" wrapText="1"/>
    </xf>
    <xf numFmtId="0" fontId="2"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vertical="center" wrapText="1"/>
    </xf>
    <xf numFmtId="172" fontId="8" fillId="0" borderId="0" xfId="0" applyNumberFormat="1" applyFont="1" applyAlignment="1">
      <alignment horizontal="center" vertical="center"/>
    </xf>
    <xf numFmtId="3" fontId="8" fillId="0" borderId="0" xfId="0" applyNumberFormat="1" applyFont="1" applyAlignment="1">
      <alignment vertical="center"/>
    </xf>
    <xf numFmtId="172" fontId="8" fillId="0" borderId="0" xfId="0" applyNumberFormat="1" applyFont="1" applyAlignment="1">
      <alignment vertical="center"/>
    </xf>
    <xf numFmtId="172" fontId="8" fillId="0" borderId="0" xfId="0" applyNumberFormat="1" applyFont="1" applyAlignment="1">
      <alignment horizontal="right" vertical="center"/>
    </xf>
    <xf numFmtId="1" fontId="8" fillId="0" borderId="0" xfId="0" applyNumberFormat="1" applyFont="1" applyAlignment="1">
      <alignment horizontal="center" vertical="center"/>
    </xf>
    <xf numFmtId="0" fontId="4" fillId="0" borderId="0" xfId="43" applyFont="1" applyAlignment="1">
      <alignment vertical="center"/>
    </xf>
    <xf numFmtId="43" fontId="2" fillId="0" borderId="0" xfId="86" applyFont="1" applyAlignment="1">
      <alignment vertical="center"/>
    </xf>
    <xf numFmtId="0" fontId="25" fillId="0" borderId="0" xfId="43" applyFont="1" applyAlignment="1">
      <alignment horizontal="justify" vertical="top" wrapText="1"/>
    </xf>
    <xf numFmtId="14" fontId="25" fillId="0" borderId="51" xfId="44" applyNumberFormat="1" applyFont="1" applyBorder="1" applyAlignment="1">
      <alignment vertical="center"/>
    </xf>
    <xf numFmtId="0" fontId="70" fillId="0" borderId="42" xfId="44" applyFont="1" applyBorder="1" applyAlignment="1">
      <alignment vertical="center"/>
    </xf>
    <xf numFmtId="0" fontId="34" fillId="0" borderId="42" xfId="44" applyFont="1" applyBorder="1" applyAlignment="1">
      <alignment horizontal="center" vertical="center"/>
    </xf>
    <xf numFmtId="0" fontId="35" fillId="0" borderId="42" xfId="44" applyFont="1" applyBorder="1" applyAlignment="1">
      <alignment vertical="center"/>
    </xf>
    <xf numFmtId="0" fontId="8" fillId="0" borderId="42" xfId="49" applyFont="1" applyBorder="1" applyAlignment="1">
      <alignment horizontal="left" vertical="center" wrapText="1"/>
    </xf>
    <xf numFmtId="0" fontId="8" fillId="0" borderId="42" xfId="49" applyFont="1" applyBorder="1" applyAlignment="1">
      <alignment vertical="center"/>
    </xf>
    <xf numFmtId="0" fontId="25" fillId="0" borderId="42" xfId="49" applyFont="1" applyBorder="1" applyAlignment="1">
      <alignment horizontal="right" vertical="center"/>
    </xf>
    <xf numFmtId="1" fontId="8" fillId="0" borderId="42" xfId="49" applyNumberFormat="1" applyFont="1" applyBorder="1" applyAlignment="1">
      <alignment vertical="center"/>
    </xf>
    <xf numFmtId="3" fontId="8" fillId="0" borderId="42" xfId="49" applyNumberFormat="1" applyFont="1" applyBorder="1" applyAlignment="1">
      <alignment vertical="center" wrapText="1"/>
    </xf>
    <xf numFmtId="9" fontId="70" fillId="0" borderId="42" xfId="44" applyNumberFormat="1" applyFont="1" applyBorder="1" applyAlignment="1">
      <alignment vertical="center"/>
    </xf>
    <xf numFmtId="0" fontId="72" fillId="0" borderId="30" xfId="44" applyFont="1" applyBorder="1" applyAlignment="1">
      <alignment horizontal="center" vertical="center"/>
    </xf>
    <xf numFmtId="0" fontId="72" fillId="0" borderId="30" xfId="44" applyFont="1" applyBorder="1" applyAlignment="1">
      <alignment horizontal="left" vertical="center" wrapText="1"/>
    </xf>
    <xf numFmtId="0" fontId="25" fillId="0" borderId="30" xfId="49" applyFont="1" applyBorder="1" applyAlignment="1">
      <alignment horizontal="right" vertical="center"/>
    </xf>
    <xf numFmtId="1" fontId="8" fillId="0" borderId="30" xfId="49" applyNumberFormat="1" applyFont="1" applyBorder="1" applyAlignment="1">
      <alignment vertical="center"/>
    </xf>
    <xf numFmtId="180" fontId="8" fillId="0" borderId="30" xfId="49" applyNumberFormat="1" applyFont="1" applyBorder="1" applyAlignment="1">
      <alignment vertical="center" wrapText="1"/>
    </xf>
    <xf numFmtId="1" fontId="8" fillId="0" borderId="30" xfId="49" applyNumberFormat="1" applyFont="1" applyBorder="1" applyAlignment="1">
      <alignment horizontal="left" vertical="center" wrapText="1"/>
    </xf>
    <xf numFmtId="2" fontId="8" fillId="0" borderId="30" xfId="49" applyNumberFormat="1" applyFont="1" applyBorder="1" applyAlignment="1">
      <alignment vertical="center"/>
    </xf>
    <xf numFmtId="1" fontId="2" fillId="0" borderId="30" xfId="44" applyNumberFormat="1" applyFont="1" applyBorder="1" applyAlignment="1">
      <alignment vertical="center"/>
    </xf>
    <xf numFmtId="9" fontId="2" fillId="0" borderId="30" xfId="44" applyNumberFormat="1" applyFont="1" applyBorder="1" applyAlignment="1">
      <alignment vertical="center"/>
    </xf>
    <xf numFmtId="10" fontId="8" fillId="0" borderId="30" xfId="49" applyNumberFormat="1" applyFont="1" applyBorder="1" applyAlignment="1">
      <alignment vertical="center" wrapText="1"/>
    </xf>
    <xf numFmtId="181" fontId="8" fillId="0" borderId="30" xfId="49" applyNumberFormat="1" applyFont="1" applyBorder="1" applyAlignment="1">
      <alignment horizontal="left" vertical="center" wrapText="1"/>
    </xf>
    <xf numFmtId="0" fontId="25" fillId="0" borderId="30" xfId="44" applyFont="1" applyBorder="1" applyAlignment="1">
      <alignment vertical="center"/>
    </xf>
    <xf numFmtId="0" fontId="73" fillId="0" borderId="30" xfId="44" applyFont="1" applyBorder="1" applyAlignment="1">
      <alignment horizontal="center" vertical="center"/>
    </xf>
    <xf numFmtId="0" fontId="73" fillId="0" borderId="30" xfId="44" applyFont="1" applyBorder="1" applyAlignment="1">
      <alignment vertical="center" wrapText="1"/>
    </xf>
    <xf numFmtId="3" fontId="25" fillId="0" borderId="30" xfId="49" applyNumberFormat="1" applyFont="1" applyBorder="1" applyAlignment="1">
      <alignment horizontal="center" vertical="center"/>
    </xf>
    <xf numFmtId="1" fontId="8" fillId="0" borderId="30" xfId="44" applyNumberFormat="1" applyFont="1" applyBorder="1" applyAlignment="1">
      <alignment vertical="center"/>
    </xf>
    <xf numFmtId="9" fontId="8" fillId="0" borderId="30" xfId="44" applyNumberFormat="1" applyFont="1" applyBorder="1" applyAlignment="1">
      <alignment vertical="center"/>
    </xf>
    <xf numFmtId="0" fontId="25" fillId="0" borderId="30" xfId="44" applyFont="1" applyBorder="1" applyAlignment="1">
      <alignment horizontal="center" vertical="center"/>
    </xf>
    <xf numFmtId="3" fontId="25" fillId="0" borderId="30" xfId="44" applyNumberFormat="1" applyFont="1" applyBorder="1" applyAlignment="1">
      <alignment horizontal="center" vertical="center"/>
    </xf>
    <xf numFmtId="3" fontId="25" fillId="0" borderId="30" xfId="44" applyNumberFormat="1" applyFont="1" applyBorder="1" applyAlignment="1">
      <alignment vertical="center"/>
    </xf>
    <xf numFmtId="172" fontId="25" fillId="0" borderId="30" xfId="65" applyNumberFormat="1" applyFont="1" applyFill="1" applyBorder="1" applyAlignment="1">
      <alignment vertical="center"/>
    </xf>
    <xf numFmtId="1" fontId="25" fillId="0" borderId="30" xfId="65" applyNumberFormat="1" applyFont="1" applyFill="1" applyBorder="1" applyAlignment="1">
      <alignment vertical="center"/>
    </xf>
    <xf numFmtId="10" fontId="25" fillId="0" borderId="30" xfId="44" applyNumberFormat="1" applyFont="1" applyBorder="1" applyAlignment="1">
      <alignment vertical="center"/>
    </xf>
    <xf numFmtId="3" fontId="25" fillId="0" borderId="30" xfId="49" applyNumberFormat="1" applyFont="1" applyBorder="1" applyAlignment="1">
      <alignment vertical="center"/>
    </xf>
    <xf numFmtId="172" fontId="25" fillId="0" borderId="30" xfId="44" applyNumberFormat="1" applyFont="1" applyBorder="1" applyAlignment="1">
      <alignment vertical="center"/>
    </xf>
    <xf numFmtId="14" fontId="25" fillId="0" borderId="30" xfId="44" applyNumberFormat="1" applyFont="1" applyBorder="1" applyAlignment="1">
      <alignment vertical="center"/>
    </xf>
    <xf numFmtId="3" fontId="2" fillId="0" borderId="30" xfId="44" applyNumberFormat="1" applyFont="1" applyBorder="1" applyAlignment="1">
      <alignment horizontal="center" vertical="center"/>
    </xf>
    <xf numFmtId="0" fontId="11" fillId="0" borderId="30" xfId="35" applyFont="1" applyBorder="1" applyAlignment="1">
      <alignment horizontal="justify" vertical="center" wrapText="1"/>
    </xf>
    <xf numFmtId="10" fontId="25" fillId="0" borderId="30" xfId="65" applyNumberFormat="1" applyFont="1" applyFill="1" applyBorder="1" applyAlignment="1">
      <alignment vertical="center"/>
    </xf>
    <xf numFmtId="1" fontId="25" fillId="0" borderId="30" xfId="44" applyNumberFormat="1" applyFont="1" applyBorder="1" applyAlignment="1">
      <alignment vertical="center"/>
    </xf>
    <xf numFmtId="49" fontId="73" fillId="0" borderId="30" xfId="44" applyNumberFormat="1" applyFont="1" applyBorder="1" applyAlignment="1">
      <alignment horizontal="center" vertical="center"/>
    </xf>
    <xf numFmtId="0" fontId="73" fillId="0" borderId="30" xfId="44" applyFont="1" applyBorder="1" applyAlignment="1">
      <alignment horizontal="justify" vertical="center" wrapText="1"/>
    </xf>
    <xf numFmtId="0" fontId="25" fillId="0" borderId="30" xfId="49" applyFont="1" applyBorder="1" applyAlignment="1">
      <alignment horizontal="center" vertical="center"/>
    </xf>
    <xf numFmtId="172" fontId="8" fillId="0" borderId="30" xfId="49" applyNumberFormat="1" applyFont="1" applyBorder="1" applyAlignment="1">
      <alignment vertical="center" wrapText="1"/>
    </xf>
    <xf numFmtId="172" fontId="8" fillId="0" borderId="30" xfId="49" applyNumberFormat="1" applyFont="1" applyBorder="1" applyAlignment="1">
      <alignment horizontal="left" vertical="center" wrapText="1"/>
    </xf>
    <xf numFmtId="3" fontId="8" fillId="0" borderId="30" xfId="49" applyNumberFormat="1" applyFont="1" applyBorder="1" applyAlignment="1">
      <alignment horizontal="left" vertical="center" wrapText="1"/>
    </xf>
    <xf numFmtId="182" fontId="8" fillId="0" borderId="30" xfId="49" applyNumberFormat="1" applyFont="1" applyBorder="1" applyAlignment="1">
      <alignment vertical="center"/>
    </xf>
    <xf numFmtId="3" fontId="42" fillId="0" borderId="30" xfId="44" applyNumberFormat="1" applyFont="1" applyBorder="1" applyAlignment="1">
      <alignment vertical="center"/>
    </xf>
    <xf numFmtId="0" fontId="75" fillId="0" borderId="30" xfId="44" applyFont="1" applyBorder="1" applyAlignment="1">
      <alignment vertical="center"/>
    </xf>
    <xf numFmtId="3" fontId="8" fillId="0" borderId="30" xfId="38" applyNumberFormat="1" applyFont="1" applyBorder="1" applyAlignment="1">
      <alignment horizontal="center" vertical="center" wrapText="1"/>
    </xf>
    <xf numFmtId="0" fontId="25" fillId="0" borderId="30" xfId="38" applyFont="1" applyBorder="1" applyAlignment="1">
      <alignment vertical="center" wrapText="1"/>
    </xf>
    <xf numFmtId="0" fontId="25" fillId="0" borderId="30" xfId="38" applyFont="1" applyBorder="1" applyAlignment="1">
      <alignment horizontal="center" vertical="center" wrapText="1"/>
    </xf>
    <xf numFmtId="9" fontId="25" fillId="0" borderId="30" xfId="65" applyFont="1" applyFill="1" applyBorder="1" applyAlignment="1">
      <alignment vertical="center"/>
    </xf>
    <xf numFmtId="10" fontId="25" fillId="0" borderId="30" xfId="49" applyNumberFormat="1" applyFont="1" applyBorder="1" applyAlignment="1">
      <alignment vertical="center" wrapText="1"/>
    </xf>
    <xf numFmtId="3" fontId="8" fillId="0" borderId="30" xfId="49" applyNumberFormat="1" applyFont="1" applyBorder="1" applyAlignment="1">
      <alignment horizontal="center" vertical="center"/>
    </xf>
    <xf numFmtId="0" fontId="25" fillId="0" borderId="30" xfId="44" applyFont="1" applyBorder="1" applyAlignment="1">
      <alignment horizontal="justify" vertical="center" wrapText="1"/>
    </xf>
    <xf numFmtId="2" fontId="25" fillId="0" borderId="30" xfId="65" applyNumberFormat="1" applyFont="1" applyFill="1" applyBorder="1" applyAlignment="1">
      <alignment vertical="center"/>
    </xf>
    <xf numFmtId="10" fontId="25" fillId="0" borderId="30" xfId="49" applyNumberFormat="1" applyFont="1" applyBorder="1" applyAlignment="1">
      <alignment horizontal="right" vertical="center" wrapText="1"/>
    </xf>
    <xf numFmtId="0" fontId="2" fillId="0" borderId="30" xfId="49" applyFont="1" applyBorder="1" applyAlignment="1">
      <alignment vertical="center" wrapText="1"/>
    </xf>
    <xf numFmtId="183" fontId="2" fillId="0" borderId="30" xfId="44" applyNumberFormat="1" applyFont="1" applyBorder="1" applyAlignment="1">
      <alignment horizontal="right" vertical="center"/>
    </xf>
    <xf numFmtId="3" fontId="76" fillId="0" borderId="30" xfId="44" applyNumberFormat="1" applyFont="1" applyBorder="1" applyAlignment="1">
      <alignment vertical="center"/>
    </xf>
    <xf numFmtId="9" fontId="25" fillId="0" borderId="30" xfId="44" applyNumberFormat="1" applyFont="1" applyBorder="1" applyAlignment="1">
      <alignment vertical="center"/>
    </xf>
    <xf numFmtId="0" fontId="25" fillId="0" borderId="30" xfId="49" applyFont="1" applyBorder="1" applyAlignment="1">
      <alignment horizontal="center" vertical="center" wrapText="1"/>
    </xf>
    <xf numFmtId="0" fontId="8" fillId="0" borderId="30" xfId="49" applyFont="1" applyBorder="1" applyAlignment="1">
      <alignment vertical="center" wrapText="1"/>
    </xf>
    <xf numFmtId="0" fontId="8" fillId="0" borderId="30" xfId="49" applyFont="1" applyBorder="1" applyAlignment="1">
      <alignment horizontal="center" vertical="center"/>
    </xf>
    <xf numFmtId="1" fontId="8" fillId="0" borderId="30" xfId="49" applyNumberFormat="1" applyFont="1" applyBorder="1" applyAlignment="1">
      <alignment horizontal="center" vertical="center"/>
    </xf>
    <xf numFmtId="172" fontId="8" fillId="0" borderId="30" xfId="44" applyNumberFormat="1" applyFont="1" applyBorder="1" applyAlignment="1">
      <alignment vertical="center"/>
    </xf>
    <xf numFmtId="172" fontId="8" fillId="0" borderId="30" xfId="44" applyNumberFormat="1" applyFont="1" applyBorder="1" applyAlignment="1">
      <alignment horizontal="right" vertical="center"/>
    </xf>
    <xf numFmtId="3" fontId="8" fillId="0" borderId="30" xfId="49" applyNumberFormat="1" applyFont="1" applyBorder="1" applyAlignment="1">
      <alignment vertical="center"/>
    </xf>
    <xf numFmtId="3" fontId="45" fillId="0" borderId="30" xfId="44" applyNumberFormat="1" applyFont="1" applyBorder="1" applyAlignment="1">
      <alignment vertical="center"/>
    </xf>
    <xf numFmtId="0" fontId="77" fillId="0" borderId="30" xfId="44" applyFont="1" applyBorder="1" applyAlignment="1">
      <alignment vertical="center"/>
    </xf>
    <xf numFmtId="0" fontId="25" fillId="0" borderId="30" xfId="49" applyFont="1" applyBorder="1" applyAlignment="1">
      <alignment vertical="center"/>
    </xf>
    <xf numFmtId="14" fontId="69" fillId="0" borderId="30" xfId="44" applyNumberFormat="1" applyFont="1" applyBorder="1" applyAlignment="1">
      <alignment vertical="center"/>
    </xf>
    <xf numFmtId="0" fontId="69" fillId="0" borderId="30" xfId="44" applyFont="1" applyBorder="1" applyAlignment="1">
      <alignment vertical="center"/>
    </xf>
    <xf numFmtId="0" fontId="25" fillId="0" borderId="31" xfId="44" applyFont="1" applyBorder="1" applyAlignment="1">
      <alignment horizontal="center" vertical="center"/>
    </xf>
    <xf numFmtId="3" fontId="25" fillId="0" borderId="31" xfId="44" applyNumberFormat="1" applyFont="1" applyBorder="1" applyAlignment="1">
      <alignment horizontal="center" vertical="center"/>
    </xf>
    <xf numFmtId="0" fontId="25" fillId="0" borderId="31" xfId="49" applyFont="1" applyBorder="1" applyAlignment="1">
      <alignment vertical="center" wrapText="1"/>
    </xf>
    <xf numFmtId="0" fontId="25" fillId="0" borderId="31" xfId="44" applyFont="1" applyBorder="1" applyAlignment="1">
      <alignment vertical="center" wrapText="1"/>
    </xf>
    <xf numFmtId="9" fontId="25" fillId="0" borderId="31" xfId="44" applyNumberFormat="1" applyFont="1" applyBorder="1" applyAlignment="1">
      <alignment vertical="center"/>
    </xf>
    <xf numFmtId="1" fontId="25" fillId="0" borderId="31" xfId="44" applyNumberFormat="1" applyFont="1" applyBorder="1" applyAlignment="1">
      <alignment vertical="center"/>
    </xf>
    <xf numFmtId="172" fontId="25" fillId="0" borderId="31" xfId="44" applyNumberFormat="1" applyFont="1" applyBorder="1" applyAlignment="1">
      <alignment vertical="center"/>
    </xf>
    <xf numFmtId="14" fontId="25" fillId="0" borderId="31" xfId="44" applyNumberFormat="1" applyFont="1" applyBorder="1" applyAlignment="1">
      <alignment horizontal="center" vertical="center"/>
    </xf>
    <xf numFmtId="3" fontId="25" fillId="0" borderId="0" xfId="44" applyNumberFormat="1" applyFont="1" applyAlignment="1">
      <alignment vertical="center"/>
    </xf>
    <xf numFmtId="172" fontId="25" fillId="0" borderId="0" xfId="44" applyNumberFormat="1" applyFont="1" applyAlignment="1">
      <alignment vertical="center"/>
    </xf>
    <xf numFmtId="0" fontId="2" fillId="0" borderId="0" xfId="44" applyFont="1" applyAlignment="1">
      <alignment horizontal="left" vertical="center"/>
    </xf>
    <xf numFmtId="172" fontId="2" fillId="0" borderId="0" xfId="44" applyNumberFormat="1" applyFont="1" applyAlignment="1">
      <alignment vertical="center"/>
    </xf>
    <xf numFmtId="0" fontId="42" fillId="0" borderId="0" xfId="44" applyFont="1" applyAlignment="1">
      <alignment vertical="center"/>
    </xf>
    <xf numFmtId="172" fontId="25" fillId="0" borderId="0" xfId="44" applyNumberFormat="1" applyFont="1" applyAlignment="1">
      <alignment horizontal="center" vertical="center"/>
    </xf>
    <xf numFmtId="0" fontId="25" fillId="0" borderId="31" xfId="44" applyFont="1" applyBorder="1" applyAlignment="1">
      <alignment vertical="center"/>
    </xf>
    <xf numFmtId="3" fontId="25" fillId="0" borderId="31" xfId="44" applyNumberFormat="1" applyFont="1" applyBorder="1" applyAlignment="1">
      <alignment vertical="center"/>
    </xf>
    <xf numFmtId="3" fontId="25" fillId="0" borderId="31" xfId="49" applyNumberFormat="1" applyFont="1" applyBorder="1" applyAlignment="1">
      <alignment vertical="center"/>
    </xf>
    <xf numFmtId="0" fontId="83" fillId="10" borderId="0" xfId="0" applyFont="1" applyFill="1" applyAlignment="1">
      <alignment horizontal="center" vertical="center"/>
    </xf>
    <xf numFmtId="0" fontId="83" fillId="10" borderId="0" xfId="0" applyFont="1" applyFill="1" applyAlignment="1">
      <alignment vertical="center"/>
    </xf>
    <xf numFmtId="0" fontId="83" fillId="10" borderId="0" xfId="0" applyFont="1" applyFill="1" applyAlignment="1">
      <alignment horizontal="left" vertical="center"/>
    </xf>
    <xf numFmtId="0" fontId="83" fillId="10" borderId="0" xfId="0" applyFont="1" applyFill="1" applyAlignment="1">
      <alignment horizontal="right" vertical="center"/>
    </xf>
    <xf numFmtId="0" fontId="83" fillId="10" borderId="0" xfId="0" applyFont="1" applyFill="1" applyAlignment="1">
      <alignment vertical="center" wrapText="1"/>
    </xf>
    <xf numFmtId="0" fontId="84" fillId="10" borderId="0" xfId="0" applyFont="1" applyFill="1" applyAlignment="1">
      <alignment vertical="center"/>
    </xf>
    <xf numFmtId="0" fontId="84" fillId="10" borderId="0" xfId="0" applyFont="1" applyFill="1" applyAlignment="1">
      <alignment horizontal="center" vertical="center"/>
    </xf>
    <xf numFmtId="0" fontId="84" fillId="10" borderId="0" xfId="0" applyFont="1" applyFill="1" applyAlignment="1">
      <alignment horizontal="left" vertical="center"/>
    </xf>
    <xf numFmtId="0" fontId="84" fillId="10" borderId="0" xfId="0" applyFont="1" applyFill="1" applyAlignment="1">
      <alignment horizontal="right" vertical="center"/>
    </xf>
    <xf numFmtId="172" fontId="84" fillId="10" borderId="0" xfId="0" applyNumberFormat="1" applyFont="1" applyFill="1" applyAlignment="1">
      <alignment horizontal="center" vertical="center"/>
    </xf>
    <xf numFmtId="3" fontId="84" fillId="10" borderId="0" xfId="0" applyNumberFormat="1" applyFont="1" applyFill="1" applyAlignment="1">
      <alignment horizontal="right" vertical="center"/>
    </xf>
    <xf numFmtId="10" fontId="84" fillId="10" borderId="0" xfId="0" applyNumberFormat="1" applyFont="1" applyFill="1" applyAlignment="1">
      <alignment vertical="center"/>
    </xf>
    <xf numFmtId="0" fontId="84" fillId="10" borderId="0" xfId="0" applyFont="1" applyFill="1" applyAlignment="1">
      <alignment vertical="center" wrapText="1"/>
    </xf>
    <xf numFmtId="172" fontId="62" fillId="10" borderId="0" xfId="0" applyNumberFormat="1" applyFont="1" applyFill="1" applyAlignment="1">
      <alignment horizontal="right" vertical="center"/>
    </xf>
    <xf numFmtId="1" fontId="84" fillId="10" borderId="0" xfId="0" applyNumberFormat="1" applyFont="1" applyFill="1" applyAlignment="1">
      <alignment horizontal="center" vertical="center"/>
    </xf>
    <xf numFmtId="0" fontId="63" fillId="10" borderId="0" xfId="0" applyFont="1" applyFill="1" applyAlignment="1">
      <alignment vertical="center"/>
    </xf>
    <xf numFmtId="0" fontId="65" fillId="10" borderId="18" xfId="0" applyFont="1" applyFill="1" applyBorder="1" applyAlignment="1">
      <alignment vertical="center"/>
    </xf>
    <xf numFmtId="0" fontId="65" fillId="10" borderId="18" xfId="0" applyFont="1" applyFill="1" applyBorder="1" applyAlignment="1">
      <alignment horizontal="center" vertical="center"/>
    </xf>
    <xf numFmtId="0" fontId="66" fillId="10" borderId="18" xfId="0" applyFont="1" applyFill="1" applyBorder="1" applyAlignment="1">
      <alignment horizontal="left" vertical="center"/>
    </xf>
    <xf numFmtId="0" fontId="65" fillId="10" borderId="18" xfId="0" applyFont="1" applyFill="1" applyBorder="1" applyAlignment="1">
      <alignment horizontal="center" vertical="center" wrapText="1"/>
    </xf>
    <xf numFmtId="0" fontId="65" fillId="10" borderId="18" xfId="0" applyFont="1" applyFill="1" applyBorder="1" applyAlignment="1">
      <alignment horizontal="right" vertical="center"/>
    </xf>
    <xf numFmtId="10" fontId="65" fillId="10" borderId="18" xfId="0" applyNumberFormat="1" applyFont="1" applyFill="1" applyBorder="1" applyAlignment="1">
      <alignment horizontal="right" vertical="center"/>
    </xf>
    <xf numFmtId="3" fontId="65" fillId="10" borderId="18" xfId="0" applyNumberFormat="1" applyFont="1" applyFill="1" applyBorder="1" applyAlignment="1">
      <alignment horizontal="center" vertical="center" wrapText="1"/>
    </xf>
    <xf numFmtId="0" fontId="65" fillId="10" borderId="18" xfId="0" applyFont="1" applyFill="1" applyBorder="1" applyAlignment="1">
      <alignment horizontal="left" vertical="center" wrapText="1"/>
    </xf>
    <xf numFmtId="10" fontId="65" fillId="10" borderId="18" xfId="0" applyNumberFormat="1" applyFont="1" applyFill="1" applyBorder="1" applyAlignment="1">
      <alignment vertical="center"/>
    </xf>
    <xf numFmtId="0" fontId="65" fillId="10" borderId="10" xfId="0" applyFont="1" applyFill="1" applyBorder="1" applyAlignment="1">
      <alignment vertical="center"/>
    </xf>
    <xf numFmtId="0" fontId="65" fillId="10" borderId="10" xfId="0" applyFont="1" applyFill="1" applyBorder="1" applyAlignment="1">
      <alignment horizontal="center" vertical="center"/>
    </xf>
    <xf numFmtId="0" fontId="65" fillId="10" borderId="10" xfId="0" applyFont="1" applyFill="1" applyBorder="1" applyAlignment="1">
      <alignment horizontal="left" vertical="center"/>
    </xf>
    <xf numFmtId="0" fontId="65" fillId="10" borderId="10" xfId="0" applyFont="1" applyFill="1" applyBorder="1" applyAlignment="1">
      <alignment horizontal="center" vertical="center" wrapText="1"/>
    </xf>
    <xf numFmtId="0" fontId="65" fillId="10" borderId="10" xfId="0" applyFont="1" applyFill="1" applyBorder="1" applyAlignment="1">
      <alignment horizontal="right" vertical="center"/>
    </xf>
    <xf numFmtId="10" fontId="65" fillId="10" borderId="10" xfId="0" applyNumberFormat="1" applyFont="1" applyFill="1" applyBorder="1" applyAlignment="1">
      <alignment horizontal="right" vertical="center"/>
    </xf>
    <xf numFmtId="3" fontId="65" fillId="10" borderId="10" xfId="0" applyNumberFormat="1" applyFont="1" applyFill="1" applyBorder="1" applyAlignment="1">
      <alignment horizontal="center" vertical="center" wrapText="1"/>
    </xf>
    <xf numFmtId="0" fontId="65" fillId="10" borderId="10" xfId="0" applyFont="1" applyFill="1" applyBorder="1" applyAlignment="1">
      <alignment horizontal="left" vertical="center" wrapText="1"/>
    </xf>
    <xf numFmtId="10" fontId="65" fillId="10" borderId="10" xfId="0" applyNumberFormat="1" applyFont="1" applyFill="1" applyBorder="1" applyAlignment="1">
      <alignment vertical="center"/>
    </xf>
    <xf numFmtId="0" fontId="62" fillId="10" borderId="10" xfId="0" applyFont="1" applyFill="1" applyBorder="1" applyAlignment="1">
      <alignment vertical="center"/>
    </xf>
    <xf numFmtId="0" fontId="64" fillId="10" borderId="10" xfId="0" applyFont="1" applyFill="1" applyBorder="1" applyAlignment="1">
      <alignment vertical="center"/>
    </xf>
    <xf numFmtId="0" fontId="64" fillId="10" borderId="10" xfId="0" applyFont="1" applyFill="1" applyBorder="1" applyAlignment="1">
      <alignment horizontal="center" vertical="center"/>
    </xf>
    <xf numFmtId="0" fontId="64" fillId="10" borderId="10" xfId="0" applyFont="1" applyFill="1" applyBorder="1" applyAlignment="1">
      <alignment horizontal="left" vertical="center"/>
    </xf>
    <xf numFmtId="0" fontId="64" fillId="10" borderId="10" xfId="0" applyFont="1" applyFill="1" applyBorder="1" applyAlignment="1">
      <alignment horizontal="center" vertical="center" wrapText="1"/>
    </xf>
    <xf numFmtId="0" fontId="64" fillId="10" borderId="10" xfId="0" applyFont="1" applyFill="1" applyBorder="1" applyAlignment="1">
      <alignment horizontal="right" vertical="center"/>
    </xf>
    <xf numFmtId="10" fontId="64" fillId="10" borderId="10" xfId="0" applyNumberFormat="1" applyFont="1" applyFill="1" applyBorder="1" applyAlignment="1">
      <alignment horizontal="right" vertical="center"/>
    </xf>
    <xf numFmtId="3" fontId="64" fillId="10" borderId="10" xfId="0" applyNumberFormat="1" applyFont="1" applyFill="1" applyBorder="1" applyAlignment="1">
      <alignment horizontal="center" vertical="center" wrapText="1"/>
    </xf>
    <xf numFmtId="0" fontId="64" fillId="10" borderId="10" xfId="0" applyFont="1" applyFill="1" applyBorder="1" applyAlignment="1">
      <alignment horizontal="left" vertical="center" wrapText="1"/>
    </xf>
    <xf numFmtId="10" fontId="64" fillId="10" borderId="10" xfId="0" applyNumberFormat="1" applyFont="1" applyFill="1" applyBorder="1" applyAlignment="1">
      <alignment vertical="center"/>
    </xf>
    <xf numFmtId="0" fontId="62" fillId="10" borderId="10" xfId="0" applyFont="1" applyFill="1" applyBorder="1" applyAlignment="1">
      <alignment horizontal="center" vertical="center"/>
    </xf>
    <xf numFmtId="0" fontId="62" fillId="10" borderId="10" xfId="0" applyFont="1" applyFill="1" applyBorder="1" applyAlignment="1">
      <alignment horizontal="left" vertical="center" wrapText="1"/>
    </xf>
    <xf numFmtId="0" fontId="62" fillId="10" borderId="10" xfId="0" applyFont="1" applyFill="1" applyBorder="1" applyAlignment="1">
      <alignment vertical="center" wrapText="1"/>
    </xf>
    <xf numFmtId="0" fontId="62" fillId="10" borderId="10" xfId="0" applyFont="1" applyFill="1" applyBorder="1" applyAlignment="1">
      <alignment horizontal="center" vertical="center" wrapText="1"/>
    </xf>
    <xf numFmtId="0" fontId="62" fillId="0" borderId="10" xfId="0" applyFont="1" applyBorder="1" applyAlignment="1">
      <alignment horizontal="right" vertical="center"/>
    </xf>
    <xf numFmtId="10" fontId="62" fillId="0" borderId="10" xfId="0" applyNumberFormat="1" applyFont="1" applyBorder="1" applyAlignment="1">
      <alignment horizontal="right" vertical="center"/>
    </xf>
    <xf numFmtId="10" fontId="62" fillId="0" borderId="10" xfId="0" applyNumberFormat="1" applyFont="1" applyBorder="1" applyAlignment="1">
      <alignment vertical="center"/>
    </xf>
    <xf numFmtId="0" fontId="61" fillId="10" borderId="10" xfId="0" applyFont="1" applyFill="1" applyBorder="1" applyAlignment="1">
      <alignment horizontal="center" vertical="center" wrapText="1"/>
    </xf>
    <xf numFmtId="0" fontId="61" fillId="10" borderId="10" xfId="0" applyFont="1" applyFill="1" applyBorder="1" applyAlignment="1">
      <alignment horizontal="center" vertical="center"/>
    </xf>
    <xf numFmtId="0" fontId="61" fillId="10" borderId="10" xfId="0" applyFont="1" applyFill="1" applyBorder="1" applyAlignment="1">
      <alignment horizontal="left" vertical="center" wrapText="1"/>
    </xf>
    <xf numFmtId="3" fontId="61" fillId="10" borderId="10" xfId="0" applyNumberFormat="1" applyFont="1" applyFill="1" applyBorder="1" applyAlignment="1">
      <alignment horizontal="center" vertical="center"/>
    </xf>
    <xf numFmtId="0" fontId="61" fillId="10" borderId="10" xfId="0" applyFont="1" applyFill="1" applyBorder="1" applyAlignment="1">
      <alignment vertical="center" wrapText="1"/>
    </xf>
    <xf numFmtId="3" fontId="61" fillId="0" borderId="10" xfId="0" applyNumberFormat="1" applyFont="1" applyBorder="1" applyAlignment="1">
      <alignment horizontal="right" vertical="center" wrapText="1"/>
    </xf>
    <xf numFmtId="1" fontId="61" fillId="0" borderId="10" xfId="0" applyNumberFormat="1" applyFont="1" applyBorder="1" applyAlignment="1">
      <alignment vertical="center"/>
    </xf>
    <xf numFmtId="3" fontId="61" fillId="0" borderId="10" xfId="0" applyNumberFormat="1" applyFont="1" applyBorder="1" applyAlignment="1">
      <alignment vertical="center" wrapText="1"/>
    </xf>
    <xf numFmtId="184" fontId="61" fillId="0" borderId="10" xfId="0" applyNumberFormat="1" applyFont="1" applyBorder="1" applyAlignment="1">
      <alignment vertical="center"/>
    </xf>
    <xf numFmtId="177" fontId="61" fillId="0" borderId="10" xfId="0" applyNumberFormat="1" applyFont="1" applyBorder="1" applyAlignment="1">
      <alignment vertical="center"/>
    </xf>
    <xf numFmtId="0" fontId="61" fillId="0" borderId="10" xfId="0" applyFont="1" applyBorder="1" applyAlignment="1">
      <alignment vertical="center"/>
    </xf>
    <xf numFmtId="3" fontId="61" fillId="10" borderId="10" xfId="0" applyNumberFormat="1" applyFont="1" applyFill="1" applyBorder="1" applyAlignment="1">
      <alignment horizontal="center" vertical="center" wrapText="1"/>
    </xf>
    <xf numFmtId="0" fontId="61" fillId="0" borderId="10" xfId="0" applyFont="1" applyBorder="1" applyAlignment="1">
      <alignment horizontal="right" vertical="center" wrapText="1"/>
    </xf>
    <xf numFmtId="177" fontId="61" fillId="0" borderId="10" xfId="0" applyNumberFormat="1" applyFont="1" applyBorder="1" applyAlignment="1">
      <alignment horizontal="right" vertical="center"/>
    </xf>
    <xf numFmtId="172" fontId="61" fillId="0" borderId="10" xfId="0" applyNumberFormat="1" applyFont="1" applyBorder="1" applyAlignment="1">
      <alignment horizontal="center" vertical="center"/>
    </xf>
    <xf numFmtId="3" fontId="61" fillId="0" borderId="10" xfId="0" applyNumberFormat="1" applyFont="1" applyBorder="1" applyAlignment="1">
      <alignment horizontal="center" vertical="center" wrapText="1"/>
    </xf>
    <xf numFmtId="0" fontId="61" fillId="0" borderId="10" xfId="0" applyFont="1" applyBorder="1" applyAlignment="1">
      <alignment horizontal="right" vertical="center"/>
    </xf>
    <xf numFmtId="0" fontId="61" fillId="10" borderId="10" xfId="0" applyFont="1" applyFill="1" applyBorder="1" applyAlignment="1">
      <alignment vertical="center"/>
    </xf>
    <xf numFmtId="1" fontId="62" fillId="10" borderId="10" xfId="0" applyNumberFormat="1" applyFont="1" applyFill="1" applyBorder="1" applyAlignment="1">
      <alignment horizontal="center" vertical="center"/>
    </xf>
    <xf numFmtId="1" fontId="62" fillId="10" borderId="10" xfId="0" applyNumberFormat="1" applyFont="1" applyFill="1" applyBorder="1" applyAlignment="1">
      <alignment horizontal="center" vertical="center" wrapText="1"/>
    </xf>
    <xf numFmtId="9" fontId="61" fillId="10" borderId="10" xfId="0" applyNumberFormat="1" applyFont="1" applyFill="1" applyBorder="1" applyAlignment="1">
      <alignment horizontal="center" vertical="center" wrapText="1"/>
    </xf>
    <xf numFmtId="9" fontId="61" fillId="0" borderId="10" xfId="0" applyNumberFormat="1" applyFont="1" applyBorder="1" applyAlignment="1">
      <alignment horizontal="right" vertical="center" wrapText="1"/>
    </xf>
    <xf numFmtId="9" fontId="61" fillId="0" borderId="10" xfId="0" applyNumberFormat="1" applyFont="1" applyBorder="1" applyAlignment="1">
      <alignment horizontal="right" vertical="center"/>
    </xf>
    <xf numFmtId="0" fontId="64" fillId="0" borderId="10" xfId="0" applyFont="1" applyBorder="1" applyAlignment="1">
      <alignment horizontal="right" vertical="center"/>
    </xf>
    <xf numFmtId="10" fontId="64" fillId="0" borderId="10" xfId="0" applyNumberFormat="1" applyFont="1" applyBorder="1" applyAlignment="1">
      <alignment horizontal="right" vertical="center"/>
    </xf>
    <xf numFmtId="172" fontId="64" fillId="0" borderId="10" xfId="0" applyNumberFormat="1" applyFont="1" applyBorder="1" applyAlignment="1">
      <alignment vertical="center" wrapText="1"/>
    </xf>
    <xf numFmtId="172" fontId="64" fillId="0" borderId="10" xfId="0" applyNumberFormat="1" applyFont="1" applyBorder="1" applyAlignment="1">
      <alignment horizontal="center" vertical="center" wrapText="1"/>
    </xf>
    <xf numFmtId="0" fontId="64" fillId="0" borderId="10" xfId="0" applyFont="1" applyBorder="1" applyAlignment="1">
      <alignment vertical="center" wrapText="1"/>
    </xf>
    <xf numFmtId="0" fontId="80" fillId="10" borderId="10" xfId="0" applyFont="1" applyFill="1" applyBorder="1" applyAlignment="1">
      <alignment vertical="center"/>
    </xf>
    <xf numFmtId="0" fontId="81" fillId="10" borderId="10" xfId="0" applyFont="1" applyFill="1" applyBorder="1" applyAlignment="1">
      <alignment horizontal="center" vertical="center"/>
    </xf>
    <xf numFmtId="3" fontId="81" fillId="10" borderId="10" xfId="0" applyNumberFormat="1" applyFont="1" applyFill="1" applyBorder="1" applyAlignment="1">
      <alignment horizontal="center" vertical="center" wrapText="1"/>
    </xf>
    <xf numFmtId="0" fontId="81" fillId="10" borderId="10" xfId="0" applyFont="1" applyFill="1" applyBorder="1" applyAlignment="1">
      <alignment vertical="center"/>
    </xf>
    <xf numFmtId="0" fontId="81" fillId="0" borderId="10" xfId="0" applyFont="1" applyBorder="1" applyAlignment="1">
      <alignment horizontal="right" vertical="center"/>
    </xf>
    <xf numFmtId="10" fontId="81" fillId="0" borderId="10" xfId="0" applyNumberFormat="1" applyFont="1" applyBorder="1" applyAlignment="1">
      <alignment horizontal="right" vertical="center"/>
    </xf>
    <xf numFmtId="172" fontId="81" fillId="0" borderId="10" xfId="0" applyNumberFormat="1" applyFont="1" applyBorder="1" applyAlignment="1">
      <alignment horizontal="left" vertical="center"/>
    </xf>
    <xf numFmtId="172" fontId="81" fillId="0" borderId="10" xfId="0" applyNumberFormat="1" applyFont="1" applyBorder="1" applyAlignment="1">
      <alignment horizontal="center" vertical="center"/>
    </xf>
    <xf numFmtId="0" fontId="81" fillId="0" borderId="10" xfId="0" applyFont="1" applyBorder="1" applyAlignment="1">
      <alignment vertical="center"/>
    </xf>
    <xf numFmtId="177" fontId="81" fillId="0" borderId="10" xfId="0" applyNumberFormat="1" applyFont="1" applyBorder="1" applyAlignment="1">
      <alignment horizontal="center" vertical="center"/>
    </xf>
    <xf numFmtId="0" fontId="81" fillId="0" borderId="10" xfId="0" applyFont="1" applyBorder="1" applyAlignment="1">
      <alignment vertical="center" wrapText="1"/>
    </xf>
    <xf numFmtId="10" fontId="61" fillId="0" borderId="10" xfId="0" applyNumberFormat="1" applyFont="1" applyBorder="1" applyAlignment="1">
      <alignment horizontal="right" vertical="center" wrapText="1"/>
    </xf>
    <xf numFmtId="3" fontId="61" fillId="0" borderId="10" xfId="0" applyNumberFormat="1" applyFont="1" applyBorder="1" applyAlignment="1">
      <alignment vertical="center"/>
    </xf>
    <xf numFmtId="0" fontId="79" fillId="0" borderId="10" xfId="0" applyFont="1" applyBorder="1" applyAlignment="1">
      <alignment horizontal="left" vertical="center" wrapText="1"/>
    </xf>
    <xf numFmtId="3" fontId="62" fillId="10" borderId="10" xfId="0" applyNumberFormat="1" applyFont="1" applyFill="1" applyBorder="1" applyAlignment="1">
      <alignment horizontal="center" vertical="center" wrapText="1"/>
    </xf>
    <xf numFmtId="10" fontId="62" fillId="0" borderId="10" xfId="0" applyNumberFormat="1" applyFont="1" applyBorder="1" applyAlignment="1">
      <alignment horizontal="right" vertical="center" wrapText="1"/>
    </xf>
    <xf numFmtId="172" fontId="62" fillId="0" borderId="10" xfId="0" applyNumberFormat="1" applyFont="1" applyBorder="1" applyAlignment="1">
      <alignment horizontal="center" vertical="center"/>
    </xf>
    <xf numFmtId="3" fontId="62" fillId="0" borderId="10" xfId="0" applyNumberFormat="1" applyFont="1" applyBorder="1" applyAlignment="1">
      <alignment vertical="center"/>
    </xf>
    <xf numFmtId="177" fontId="62" fillId="0" borderId="10" xfId="0" applyNumberFormat="1" applyFont="1" applyBorder="1" applyAlignment="1">
      <alignment horizontal="center" vertical="center"/>
    </xf>
    <xf numFmtId="172" fontId="61" fillId="0" borderId="10" xfId="0" applyNumberFormat="1" applyFont="1" applyBorder="1" applyAlignment="1">
      <alignment horizontal="center" vertical="center" wrapText="1"/>
    </xf>
    <xf numFmtId="177" fontId="61" fillId="0" borderId="10" xfId="0" applyNumberFormat="1" applyFont="1" applyBorder="1" applyAlignment="1">
      <alignment horizontal="center" vertical="center"/>
    </xf>
    <xf numFmtId="0" fontId="82" fillId="10" borderId="10" xfId="0" applyFont="1" applyFill="1" applyBorder="1" applyAlignment="1">
      <alignment vertical="center" wrapText="1"/>
    </xf>
    <xf numFmtId="1" fontId="82" fillId="10" borderId="10" xfId="0" applyNumberFormat="1" applyFont="1" applyFill="1" applyBorder="1" applyAlignment="1">
      <alignment horizontal="center" vertical="center" wrapText="1"/>
    </xf>
    <xf numFmtId="0" fontId="82" fillId="10" borderId="10" xfId="0" applyFont="1" applyFill="1" applyBorder="1" applyAlignment="1">
      <alignment horizontal="center" vertical="center" wrapText="1"/>
    </xf>
    <xf numFmtId="9" fontId="62" fillId="10" borderId="10" xfId="0" applyNumberFormat="1" applyFont="1" applyFill="1" applyBorder="1" applyAlignment="1">
      <alignment horizontal="center" vertical="center" wrapText="1"/>
    </xf>
    <xf numFmtId="0" fontId="82" fillId="0" borderId="10" xfId="0" applyFont="1" applyBorder="1" applyAlignment="1">
      <alignment horizontal="right" vertical="center" wrapText="1"/>
    </xf>
    <xf numFmtId="10" fontId="82" fillId="0" borderId="10" xfId="0" applyNumberFormat="1" applyFont="1" applyBorder="1" applyAlignment="1">
      <alignment horizontal="right" vertical="center" wrapText="1"/>
    </xf>
    <xf numFmtId="3" fontId="82" fillId="0" borderId="10" xfId="0" applyNumberFormat="1" applyFont="1" applyBorder="1" applyAlignment="1">
      <alignment vertical="center" wrapText="1"/>
    </xf>
    <xf numFmtId="0" fontId="82" fillId="0" borderId="10" xfId="0" applyFont="1" applyBorder="1" applyAlignment="1">
      <alignment vertical="center" wrapText="1"/>
    </xf>
    <xf numFmtId="3" fontId="62" fillId="0" borderId="10" xfId="0" applyNumberFormat="1" applyFont="1" applyBorder="1" applyAlignment="1">
      <alignment horizontal="right" vertical="center" wrapText="1"/>
    </xf>
    <xf numFmtId="3" fontId="61" fillId="0" borderId="10" xfId="0" applyNumberFormat="1" applyFont="1" applyBorder="1" applyAlignment="1">
      <alignment horizontal="right" vertical="center"/>
    </xf>
    <xf numFmtId="3" fontId="61" fillId="10" borderId="10" xfId="0" applyNumberFormat="1" applyFont="1" applyFill="1" applyBorder="1" applyAlignment="1">
      <alignment vertical="center" wrapText="1"/>
    </xf>
    <xf numFmtId="0" fontId="62" fillId="10" borderId="10" xfId="0" applyFont="1" applyFill="1" applyBorder="1" applyAlignment="1">
      <alignment horizontal="right" vertical="center" wrapText="1"/>
    </xf>
    <xf numFmtId="172" fontId="62" fillId="10" borderId="10" xfId="0" applyNumberFormat="1" applyFont="1" applyFill="1" applyBorder="1" applyAlignment="1">
      <alignment horizontal="right" vertical="center" wrapText="1"/>
    </xf>
    <xf numFmtId="172" fontId="62" fillId="10" borderId="10" xfId="0" applyNumberFormat="1" applyFont="1" applyFill="1" applyBorder="1" applyAlignment="1">
      <alignment vertical="center"/>
    </xf>
    <xf numFmtId="3" fontId="62" fillId="10" borderId="10" xfId="0" applyNumberFormat="1" applyFont="1" applyFill="1" applyBorder="1" applyAlignment="1">
      <alignment horizontal="right" vertical="center" wrapText="1"/>
    </xf>
    <xf numFmtId="0" fontId="62" fillId="10" borderId="10" xfId="0" applyFont="1" applyFill="1" applyBorder="1" applyAlignment="1">
      <alignment horizontal="right" vertical="center"/>
    </xf>
    <xf numFmtId="0" fontId="61" fillId="10" borderId="10" xfId="0" applyFont="1" applyFill="1" applyBorder="1" applyAlignment="1">
      <alignment horizontal="right" vertical="center" wrapText="1"/>
    </xf>
    <xf numFmtId="172" fontId="61" fillId="10" borderId="10" xfId="0" applyNumberFormat="1" applyFont="1" applyFill="1" applyBorder="1" applyAlignment="1">
      <alignment horizontal="right" vertical="center" wrapText="1"/>
    </xf>
    <xf numFmtId="3" fontId="61" fillId="10" borderId="10" xfId="0" applyNumberFormat="1" applyFont="1" applyFill="1" applyBorder="1" applyAlignment="1">
      <alignment horizontal="right" vertical="center" wrapText="1"/>
    </xf>
    <xf numFmtId="3" fontId="79" fillId="10" borderId="10" xfId="0" applyNumberFormat="1" applyFont="1" applyFill="1" applyBorder="1" applyAlignment="1">
      <alignment horizontal="right" vertical="center"/>
    </xf>
    <xf numFmtId="177" fontId="61" fillId="10" borderId="10" xfId="0" applyNumberFormat="1" applyFont="1" applyFill="1" applyBorder="1" applyAlignment="1">
      <alignment vertical="center"/>
    </xf>
    <xf numFmtId="177" fontId="61" fillId="10" borderId="10" xfId="0" applyNumberFormat="1" applyFont="1" applyFill="1" applyBorder="1" applyAlignment="1">
      <alignment horizontal="right" vertical="center"/>
    </xf>
    <xf numFmtId="0" fontId="83" fillId="10" borderId="10" xfId="0" applyFont="1" applyFill="1" applyBorder="1" applyAlignment="1">
      <alignment horizontal="center" vertical="center"/>
    </xf>
    <xf numFmtId="0" fontId="83" fillId="10" borderId="10" xfId="0" applyFont="1" applyFill="1" applyBorder="1" applyAlignment="1">
      <alignment vertical="center"/>
    </xf>
    <xf numFmtId="0" fontId="83" fillId="10" borderId="10" xfId="0" applyFont="1" applyFill="1" applyBorder="1" applyAlignment="1">
      <alignment horizontal="right" vertical="center"/>
    </xf>
    <xf numFmtId="0" fontId="83" fillId="10" borderId="10" xfId="0" applyFont="1" applyFill="1" applyBorder="1" applyAlignment="1">
      <alignment vertical="center" wrapText="1"/>
    </xf>
    <xf numFmtId="0" fontId="84" fillId="10" borderId="10" xfId="0" applyFont="1" applyFill="1" applyBorder="1" applyAlignment="1">
      <alignment vertical="center"/>
    </xf>
    <xf numFmtId="3" fontId="61" fillId="0" borderId="10" xfId="0" applyNumberFormat="1" applyFont="1" applyBorder="1" applyAlignment="1">
      <alignment horizontal="center" vertical="center"/>
    </xf>
    <xf numFmtId="167" fontId="81" fillId="0" borderId="10" xfId="0" applyNumberFormat="1" applyFont="1" applyBorder="1" applyAlignment="1">
      <alignment horizontal="center" vertical="center"/>
    </xf>
    <xf numFmtId="172" fontId="82" fillId="0" borderId="10" xfId="0" applyNumberFormat="1" applyFont="1" applyBorder="1" applyAlignment="1">
      <alignment horizontal="center" vertical="center" wrapText="1"/>
    </xf>
    <xf numFmtId="172" fontId="79" fillId="0" borderId="10" xfId="0" applyNumberFormat="1" applyFont="1" applyBorder="1" applyAlignment="1">
      <alignment horizontal="center" vertical="center"/>
    </xf>
    <xf numFmtId="0" fontId="83" fillId="0" borderId="10" xfId="0" applyFont="1" applyBorder="1" applyAlignment="1">
      <alignment vertical="center"/>
    </xf>
    <xf numFmtId="0" fontId="83" fillId="0" borderId="0" xfId="0" applyFont="1" applyAlignment="1">
      <alignment vertical="center"/>
    </xf>
    <xf numFmtId="0" fontId="84" fillId="0" borderId="0" xfId="0" applyFont="1" applyAlignment="1">
      <alignment vertical="center"/>
    </xf>
    <xf numFmtId="0" fontId="36" fillId="10" borderId="10" xfId="0" applyFont="1" applyFill="1" applyBorder="1" applyAlignment="1">
      <alignment horizontal="center" vertical="center"/>
    </xf>
    <xf numFmtId="0" fontId="36" fillId="10" borderId="10" xfId="0" applyFont="1" applyFill="1" applyBorder="1" applyAlignment="1">
      <alignment vertical="center"/>
    </xf>
    <xf numFmtId="0" fontId="31" fillId="10" borderId="10" xfId="0" applyFont="1" applyFill="1" applyBorder="1" applyAlignment="1">
      <alignment horizontal="center" vertical="center" wrapText="1"/>
    </xf>
    <xf numFmtId="9" fontId="36" fillId="10" borderId="10" xfId="0" applyNumberFormat="1" applyFont="1" applyFill="1" applyBorder="1" applyAlignment="1">
      <alignment horizontal="center" vertical="center"/>
    </xf>
    <xf numFmtId="9" fontId="36" fillId="0" borderId="10" xfId="0" applyNumberFormat="1" applyFont="1" applyBorder="1" applyAlignment="1">
      <alignment horizontal="center" vertical="center"/>
    </xf>
    <xf numFmtId="0" fontId="36" fillId="10" borderId="10" xfId="0" applyFont="1" applyFill="1" applyBorder="1" applyAlignment="1">
      <alignment horizontal="right" vertical="center"/>
    </xf>
    <xf numFmtId="0" fontId="36" fillId="10" borderId="10" xfId="0" applyFont="1" applyFill="1" applyBorder="1" applyAlignment="1">
      <alignment vertical="center" wrapText="1"/>
    </xf>
    <xf numFmtId="0" fontId="36" fillId="10" borderId="10" xfId="0" applyFont="1" applyFill="1" applyBorder="1" applyAlignment="1">
      <alignment horizontal="center" vertical="center" wrapText="1"/>
    </xf>
    <xf numFmtId="0" fontId="25" fillId="0" borderId="0" xfId="43" applyFont="1" applyAlignment="1">
      <alignment vertical="center"/>
    </xf>
    <xf numFmtId="0" fontId="36" fillId="0" borderId="10" xfId="0" applyFont="1" applyBorder="1" applyAlignment="1">
      <alignment vertical="center"/>
    </xf>
    <xf numFmtId="0" fontId="36" fillId="10" borderId="10" xfId="0" applyFont="1" applyFill="1" applyBorder="1" applyAlignment="1">
      <alignment horizontal="left" vertical="center" wrapText="1"/>
    </xf>
    <xf numFmtId="0" fontId="36" fillId="10" borderId="19" xfId="0" applyFont="1" applyFill="1" applyBorder="1" applyAlignment="1">
      <alignment horizontal="center" vertical="center"/>
    </xf>
    <xf numFmtId="0" fontId="36" fillId="10" borderId="19" xfId="0" applyFont="1" applyFill="1" applyBorder="1" applyAlignment="1">
      <alignment vertical="center"/>
    </xf>
    <xf numFmtId="0" fontId="36" fillId="10" borderId="19" xfId="0" applyFont="1" applyFill="1" applyBorder="1" applyAlignment="1">
      <alignment horizontal="center" vertical="center" wrapText="1"/>
    </xf>
    <xf numFmtId="0" fontId="36" fillId="0" borderId="19" xfId="0" applyFont="1" applyBorder="1" applyAlignment="1">
      <alignment vertical="center"/>
    </xf>
    <xf numFmtId="0" fontId="36" fillId="10" borderId="19" xfId="0" applyFont="1" applyFill="1" applyBorder="1" applyAlignment="1">
      <alignment horizontal="right" vertical="center"/>
    </xf>
    <xf numFmtId="0" fontId="36" fillId="10" borderId="19" xfId="0" applyFont="1" applyFill="1" applyBorder="1" applyAlignment="1">
      <alignment vertical="center" wrapText="1"/>
    </xf>
    <xf numFmtId="172" fontId="61" fillId="0" borderId="10" xfId="0" applyNumberFormat="1" applyFont="1" applyBorder="1" applyAlignment="1">
      <alignment vertical="center"/>
    </xf>
    <xf numFmtId="172" fontId="64" fillId="0" borderId="10" xfId="0" applyNumberFormat="1" applyFont="1" applyBorder="1" applyAlignment="1">
      <alignment vertical="center"/>
    </xf>
    <xf numFmtId="172" fontId="81" fillId="0" borderId="10" xfId="0" applyNumberFormat="1" applyFont="1" applyBorder="1" applyAlignment="1">
      <alignment vertical="center"/>
    </xf>
    <xf numFmtId="172" fontId="79" fillId="0" borderId="10" xfId="0" applyNumberFormat="1" applyFont="1" applyBorder="1" applyAlignment="1">
      <alignment vertical="center"/>
    </xf>
    <xf numFmtId="172" fontId="82" fillId="0" borderId="10" xfId="0" applyNumberFormat="1" applyFont="1" applyBorder="1" applyAlignment="1">
      <alignment vertical="center" wrapText="1"/>
    </xf>
    <xf numFmtId="172" fontId="61" fillId="10" borderId="10" xfId="0" applyNumberFormat="1" applyFont="1" applyFill="1" applyBorder="1" applyAlignment="1">
      <alignment vertical="center"/>
    </xf>
    <xf numFmtId="172" fontId="83" fillId="10" borderId="10" xfId="0" applyNumberFormat="1" applyFont="1" applyFill="1" applyBorder="1" applyAlignment="1">
      <alignment vertical="center"/>
    </xf>
    <xf numFmtId="172" fontId="36" fillId="10" borderId="10" xfId="0" applyNumberFormat="1" applyFont="1" applyFill="1" applyBorder="1" applyAlignment="1">
      <alignment vertical="center"/>
    </xf>
    <xf numFmtId="172" fontId="36" fillId="10" borderId="19" xfId="0" applyNumberFormat="1" applyFont="1" applyFill="1" applyBorder="1" applyAlignment="1">
      <alignment vertical="center"/>
    </xf>
    <xf numFmtId="172" fontId="83" fillId="10" borderId="0" xfId="0" applyNumberFormat="1" applyFont="1" applyFill="1" applyAlignment="1">
      <alignment vertical="center"/>
    </xf>
    <xf numFmtId="172" fontId="62" fillId="0" borderId="10" xfId="0" applyNumberFormat="1" applyFont="1" applyBorder="1" applyAlignment="1">
      <alignment horizontal="left" vertical="center" wrapText="1"/>
    </xf>
    <xf numFmtId="172" fontId="62" fillId="0" borderId="10" xfId="0" applyNumberFormat="1" applyFont="1" applyBorder="1" applyAlignment="1">
      <alignment vertical="center" wrapText="1"/>
    </xf>
    <xf numFmtId="172" fontId="61" fillId="0" borderId="10" xfId="0" applyNumberFormat="1" applyFont="1" applyBorder="1" applyAlignment="1">
      <alignment vertical="center" wrapText="1"/>
    </xf>
    <xf numFmtId="172" fontId="61" fillId="10" borderId="10" xfId="0" applyNumberFormat="1" applyFont="1" applyFill="1" applyBorder="1" applyAlignment="1">
      <alignment vertical="center" wrapText="1"/>
    </xf>
    <xf numFmtId="0" fontId="39" fillId="10" borderId="10" xfId="0" applyFont="1" applyFill="1" applyBorder="1" applyAlignment="1">
      <alignment vertical="center" wrapText="1"/>
    </xf>
    <xf numFmtId="3" fontId="36" fillId="10" borderId="10" xfId="0" applyNumberFormat="1" applyFont="1" applyFill="1" applyBorder="1" applyAlignment="1">
      <alignment vertical="center"/>
    </xf>
    <xf numFmtId="3" fontId="36" fillId="10" borderId="19" xfId="0" applyNumberFormat="1" applyFont="1" applyFill="1" applyBorder="1" applyAlignment="1">
      <alignment vertical="center"/>
    </xf>
    <xf numFmtId="0" fontId="12" fillId="0" borderId="10" xfId="0" applyFont="1" applyBorder="1" applyAlignment="1">
      <alignment vertical="center"/>
    </xf>
    <xf numFmtId="0" fontId="12" fillId="0" borderId="19" xfId="0" applyFont="1" applyBorder="1" applyAlignment="1">
      <alignment vertical="center"/>
    </xf>
    <xf numFmtId="0" fontId="36" fillId="10" borderId="19" xfId="0" applyFont="1" applyFill="1" applyBorder="1" applyAlignment="1">
      <alignment horizontal="left" vertical="center" wrapText="1"/>
    </xf>
    <xf numFmtId="0" fontId="63" fillId="0" borderId="0" xfId="0" applyFont="1" applyAlignment="1">
      <alignment vertical="center"/>
    </xf>
    <xf numFmtId="0" fontId="63" fillId="10" borderId="0" xfId="0" applyFont="1" applyFill="1" applyAlignment="1">
      <alignment horizontal="right" vertical="center"/>
    </xf>
    <xf numFmtId="10" fontId="63" fillId="10" borderId="0" xfId="0" applyNumberFormat="1" applyFont="1" applyFill="1" applyAlignment="1">
      <alignment vertical="center"/>
    </xf>
    <xf numFmtId="0" fontId="62" fillId="10" borderId="0" xfId="0" applyFont="1" applyFill="1" applyAlignment="1">
      <alignment vertical="center"/>
    </xf>
    <xf numFmtId="172" fontId="36" fillId="0" borderId="0" xfId="0" applyNumberFormat="1" applyFont="1" applyAlignment="1">
      <alignment vertical="center"/>
    </xf>
    <xf numFmtId="0" fontId="34" fillId="0" borderId="42" xfId="43" applyFont="1" applyBorder="1" applyAlignment="1">
      <alignment horizontal="center" vertical="center" wrapText="1"/>
    </xf>
    <xf numFmtId="0" fontId="35" fillId="0" borderId="42" xfId="43" applyFont="1" applyBorder="1" applyAlignment="1">
      <alignment vertical="center" wrapText="1"/>
    </xf>
    <xf numFmtId="0" fontId="73" fillId="0" borderId="30" xfId="43" applyFont="1" applyBorder="1" applyAlignment="1">
      <alignment horizontal="center" vertical="center" wrapText="1"/>
    </xf>
    <xf numFmtId="0" fontId="73" fillId="0" borderId="30" xfId="43" applyFont="1" applyBorder="1" applyAlignment="1">
      <alignment vertical="center" wrapText="1"/>
    </xf>
    <xf numFmtId="0" fontId="25" fillId="0" borderId="30" xfId="39" applyFont="1" applyBorder="1" applyAlignment="1">
      <alignment horizontal="center" vertical="center" wrapText="1"/>
    </xf>
    <xf numFmtId="0" fontId="25" fillId="0" borderId="30" xfId="39" applyFont="1" applyBorder="1" applyAlignment="1">
      <alignment horizontal="left" vertical="center" wrapText="1"/>
    </xf>
    <xf numFmtId="0" fontId="25" fillId="0" borderId="30" xfId="49" applyFont="1" applyBorder="1" applyAlignment="1">
      <alignment horizontal="right" vertical="center" wrapText="1"/>
    </xf>
    <xf numFmtId="9" fontId="25" fillId="0" borderId="30" xfId="79" applyFont="1" applyFill="1" applyBorder="1" applyAlignment="1">
      <alignment horizontal="right" vertical="center" wrapText="1"/>
    </xf>
    <xf numFmtId="3" fontId="25" fillId="0" borderId="30" xfId="49" applyNumberFormat="1" applyFont="1" applyBorder="1" applyAlignment="1">
      <alignment vertical="center" wrapText="1"/>
    </xf>
    <xf numFmtId="0" fontId="25" fillId="0" borderId="30" xfId="49" applyFont="1" applyBorder="1" applyAlignment="1">
      <alignment horizontal="left" vertical="center" wrapText="1"/>
    </xf>
    <xf numFmtId="9" fontId="25" fillId="0" borderId="30" xfId="79" applyFont="1" applyFill="1" applyBorder="1" applyAlignment="1">
      <alignment horizontal="right" vertical="center"/>
    </xf>
    <xf numFmtId="1" fontId="25" fillId="0" borderId="30" xfId="43" quotePrefix="1" applyNumberFormat="1" applyFont="1" applyBorder="1" applyAlignment="1">
      <alignment horizontal="center" vertical="center" wrapText="1"/>
    </xf>
    <xf numFmtId="0" fontId="25" fillId="0" borderId="30" xfId="44" applyFont="1" applyBorder="1" applyAlignment="1">
      <alignment horizontal="right" vertical="center"/>
    </xf>
    <xf numFmtId="9" fontId="25" fillId="0" borderId="30" xfId="63" applyFont="1" applyFill="1" applyBorder="1" applyAlignment="1">
      <alignment horizontal="center" vertical="center"/>
    </xf>
    <xf numFmtId="3" fontId="8" fillId="0" borderId="30" xfId="79" applyNumberFormat="1" applyFont="1" applyFill="1" applyBorder="1" applyAlignment="1">
      <alignment vertical="center" wrapText="1"/>
    </xf>
    <xf numFmtId="0" fontId="35" fillId="0" borderId="30" xfId="43" applyFont="1" applyBorder="1" applyAlignment="1">
      <alignment vertical="center" wrapText="1"/>
    </xf>
    <xf numFmtId="0" fontId="8" fillId="0" borderId="30" xfId="44" applyFont="1" applyBorder="1" applyAlignment="1">
      <alignment horizontal="left" vertical="center" wrapText="1"/>
    </xf>
    <xf numFmtId="3" fontId="25" fillId="0" borderId="30" xfId="44" applyNumberFormat="1" applyFont="1" applyBorder="1" applyAlignment="1">
      <alignment horizontal="right" vertical="center"/>
    </xf>
    <xf numFmtId="1" fontId="25" fillId="0" borderId="30" xfId="44" applyNumberFormat="1" applyFont="1" applyBorder="1" applyAlignment="1">
      <alignment horizontal="center" vertical="center" wrapText="1"/>
    </xf>
    <xf numFmtId="3" fontId="25" fillId="0" borderId="30" xfId="44" applyNumberFormat="1" applyFont="1" applyBorder="1" applyAlignment="1">
      <alignment horizontal="center" vertical="center" wrapText="1"/>
    </xf>
    <xf numFmtId="0" fontId="70" fillId="0" borderId="30" xfId="44" applyFont="1" applyBorder="1" applyAlignment="1">
      <alignment horizontal="center" vertical="center" wrapText="1"/>
    </xf>
    <xf numFmtId="0" fontId="70" fillId="0" borderId="30" xfId="44" applyFont="1" applyBorder="1" applyAlignment="1">
      <alignment vertical="center" wrapText="1"/>
    </xf>
    <xf numFmtId="0" fontId="6" fillId="0" borderId="30" xfId="44" applyFont="1" applyBorder="1" applyAlignment="1">
      <alignment vertical="center" wrapText="1"/>
    </xf>
    <xf numFmtId="9" fontId="25" fillId="0" borderId="30" xfId="44" applyNumberFormat="1" applyFont="1" applyBorder="1" applyAlignment="1">
      <alignment horizontal="center" vertical="center" wrapText="1"/>
    </xf>
    <xf numFmtId="185" fontId="25" fillId="0" borderId="30" xfId="44" applyNumberFormat="1" applyFont="1" applyBorder="1" applyAlignment="1">
      <alignment horizontal="center" vertical="center" wrapText="1"/>
    </xf>
    <xf numFmtId="3" fontId="31" fillId="0" borderId="0" xfId="0" applyNumberFormat="1" applyFont="1" applyAlignment="1">
      <alignment vertical="center" wrapText="1"/>
    </xf>
    <xf numFmtId="9" fontId="31" fillId="0" borderId="0" xfId="63" applyFont="1" applyFill="1" applyBorder="1" applyAlignment="1">
      <alignment vertical="center" wrapText="1"/>
    </xf>
    <xf numFmtId="14" fontId="31" fillId="0" borderId="0" xfId="0" applyNumberFormat="1" applyFont="1" applyAlignment="1">
      <alignment vertical="center" wrapText="1"/>
    </xf>
    <xf numFmtId="0" fontId="71" fillId="0" borderId="0" xfId="0" applyFont="1"/>
    <xf numFmtId="0" fontId="76" fillId="0" borderId="0" xfId="0" applyFont="1" applyAlignment="1">
      <alignment vertical="center" wrapText="1"/>
    </xf>
    <xf numFmtId="0" fontId="76" fillId="0" borderId="0" xfId="0" applyFont="1" applyAlignment="1">
      <alignment horizontal="center" vertical="center" wrapText="1"/>
    </xf>
    <xf numFmtId="0" fontId="76" fillId="0" borderId="0" xfId="0" applyFont="1" applyAlignment="1">
      <alignment horizontal="left" vertical="center" wrapText="1"/>
    </xf>
    <xf numFmtId="9" fontId="76" fillId="0" borderId="0" xfId="63" applyFont="1" applyFill="1" applyBorder="1" applyAlignment="1">
      <alignment vertical="center" wrapText="1"/>
    </xf>
    <xf numFmtId="3" fontId="76" fillId="0" borderId="0" xfId="0" applyNumberFormat="1" applyFont="1" applyAlignment="1">
      <alignment vertical="center" wrapText="1"/>
    </xf>
    <xf numFmtId="14" fontId="76" fillId="0" borderId="0" xfId="0" applyNumberFormat="1" applyFont="1" applyAlignment="1">
      <alignment vertical="center" wrapText="1"/>
    </xf>
    <xf numFmtId="0" fontId="32" fillId="0" borderId="42" xfId="0" applyFont="1" applyBorder="1" applyAlignment="1">
      <alignment horizontal="center" vertical="center" wrapText="1"/>
    </xf>
    <xf numFmtId="0" fontId="32" fillId="0" borderId="42" xfId="0" applyFont="1" applyBorder="1" applyAlignment="1">
      <alignment horizontal="left" vertical="center" wrapText="1"/>
    </xf>
    <xf numFmtId="0" fontId="32" fillId="0" borderId="42" xfId="0" applyFont="1" applyBorder="1" applyAlignment="1">
      <alignment vertical="center" wrapText="1"/>
    </xf>
    <xf numFmtId="3" fontId="32" fillId="0" borderId="42" xfId="0" applyNumberFormat="1" applyFont="1" applyBorder="1" applyAlignment="1">
      <alignment vertical="center" wrapText="1"/>
    </xf>
    <xf numFmtId="9" fontId="32" fillId="0" borderId="42" xfId="63" applyFont="1" applyBorder="1" applyAlignment="1">
      <alignment horizontal="left" vertical="center" wrapText="1"/>
    </xf>
    <xf numFmtId="9" fontId="32" fillId="0" borderId="42" xfId="63" applyFont="1" applyBorder="1" applyAlignment="1">
      <alignment vertical="center" wrapText="1"/>
    </xf>
    <xf numFmtId="14" fontId="32" fillId="0" borderId="42" xfId="0" applyNumberFormat="1" applyFont="1" applyBorder="1" applyAlignment="1">
      <alignment vertical="center" wrapText="1"/>
    </xf>
    <xf numFmtId="0" fontId="32" fillId="0" borderId="30" xfId="0" applyFont="1" applyBorder="1" applyAlignment="1">
      <alignment horizontal="center" vertical="center" wrapText="1"/>
    </xf>
    <xf numFmtId="0" fontId="32" fillId="0" borderId="30" xfId="0" applyFont="1" applyBorder="1" applyAlignment="1">
      <alignment horizontal="left" vertical="center" wrapText="1"/>
    </xf>
    <xf numFmtId="0" fontId="32" fillId="0" borderId="30" xfId="0" applyFont="1" applyBorder="1" applyAlignment="1">
      <alignment vertical="center" wrapText="1"/>
    </xf>
    <xf numFmtId="3" fontId="32" fillId="0" borderId="30" xfId="0" applyNumberFormat="1" applyFont="1" applyBorder="1" applyAlignment="1">
      <alignment vertical="center" wrapText="1"/>
    </xf>
    <xf numFmtId="9" fontId="32" fillId="0" borderId="30" xfId="63" applyFont="1" applyBorder="1" applyAlignment="1">
      <alignment horizontal="left" vertical="center" wrapText="1"/>
    </xf>
    <xf numFmtId="9" fontId="32" fillId="0" borderId="30" xfId="63" applyFont="1" applyBorder="1" applyAlignment="1">
      <alignment vertical="center" wrapText="1"/>
    </xf>
    <xf numFmtId="14" fontId="32" fillId="0" borderId="30" xfId="0" applyNumberFormat="1" applyFont="1" applyBorder="1" applyAlignment="1">
      <alignment vertical="center" wrapText="1"/>
    </xf>
    <xf numFmtId="0" fontId="39" fillId="0" borderId="30" xfId="0" applyFont="1" applyBorder="1" applyAlignment="1">
      <alignment horizontal="center" vertical="center" wrapText="1"/>
    </xf>
    <xf numFmtId="0" fontId="39" fillId="0" borderId="30" xfId="0" applyFont="1" applyBorder="1" applyAlignment="1">
      <alignment horizontal="left" vertical="center" wrapText="1"/>
    </xf>
    <xf numFmtId="0" fontId="39" fillId="0" borderId="30" xfId="0" applyFont="1" applyBorder="1" applyAlignment="1">
      <alignment vertical="center" wrapText="1"/>
    </xf>
    <xf numFmtId="3" fontId="39" fillId="0" borderId="30" xfId="0" applyNumberFormat="1" applyFont="1" applyBorder="1" applyAlignment="1">
      <alignment vertical="center" wrapText="1"/>
    </xf>
    <xf numFmtId="9" fontId="39" fillId="0" borderId="30" xfId="63" applyFont="1" applyBorder="1" applyAlignment="1">
      <alignment horizontal="left" vertical="center" wrapText="1"/>
    </xf>
    <xf numFmtId="9" fontId="39" fillId="0" borderId="30" xfId="63" applyFont="1" applyBorder="1" applyAlignment="1">
      <alignment vertical="center" wrapText="1"/>
    </xf>
    <xf numFmtId="14" fontId="39" fillId="0" borderId="30" xfId="0" applyNumberFormat="1" applyFont="1" applyBorder="1" applyAlignment="1">
      <alignment vertical="center" wrapText="1"/>
    </xf>
    <xf numFmtId="1" fontId="39" fillId="0" borderId="30" xfId="0" applyNumberFormat="1" applyFont="1" applyBorder="1" applyAlignment="1">
      <alignment horizontal="center" vertical="center" wrapText="1"/>
    </xf>
    <xf numFmtId="1" fontId="31" fillId="0" borderId="30" xfId="0" applyNumberFormat="1" applyFont="1" applyBorder="1" applyAlignment="1">
      <alignment horizontal="center" vertical="center" wrapText="1"/>
    </xf>
    <xf numFmtId="3" fontId="31" fillId="0" borderId="30" xfId="0" applyNumberFormat="1" applyFont="1" applyBorder="1" applyAlignment="1">
      <alignment vertical="center" wrapText="1"/>
    </xf>
    <xf numFmtId="9" fontId="31" fillId="0" borderId="30" xfId="63" applyFont="1" applyFill="1" applyBorder="1" applyAlignment="1">
      <alignment horizontal="right" vertical="center" wrapText="1"/>
    </xf>
    <xf numFmtId="9" fontId="31" fillId="0" borderId="30" xfId="63" applyFont="1" applyFill="1" applyBorder="1" applyAlignment="1">
      <alignment vertical="center" wrapText="1"/>
    </xf>
    <xf numFmtId="14" fontId="31" fillId="0" borderId="30" xfId="0" applyNumberFormat="1" applyFont="1" applyBorder="1" applyAlignment="1">
      <alignment vertical="center" wrapText="1"/>
    </xf>
    <xf numFmtId="0" fontId="31" fillId="0" borderId="30" xfId="0" applyFont="1" applyBorder="1" applyAlignment="1">
      <alignment vertical="center" wrapText="1"/>
    </xf>
    <xf numFmtId="0" fontId="31" fillId="0" borderId="30" xfId="0" applyFont="1" applyBorder="1" applyAlignment="1">
      <alignment horizontal="center" vertical="center" wrapText="1"/>
    </xf>
    <xf numFmtId="1" fontId="86" fillId="0" borderId="30" xfId="0" applyNumberFormat="1" applyFont="1" applyBorder="1" applyAlignment="1">
      <alignment horizontal="center" vertical="center" wrapText="1"/>
    </xf>
    <xf numFmtId="9" fontId="31" fillId="0" borderId="30" xfId="63" applyFont="1" applyBorder="1" applyAlignment="1">
      <alignment horizontal="right" vertical="center" wrapText="1"/>
    </xf>
    <xf numFmtId="9" fontId="31" fillId="0" borderId="30" xfId="63" applyFont="1" applyBorder="1" applyAlignment="1">
      <alignment vertical="center" wrapText="1"/>
    </xf>
    <xf numFmtId="9" fontId="32" fillId="0" borderId="30" xfId="63" applyFont="1" applyBorder="1" applyAlignment="1">
      <alignment horizontal="center" vertical="center" wrapText="1"/>
    </xf>
    <xf numFmtId="9" fontId="39" fillId="0" borderId="30" xfId="63" applyFont="1" applyBorder="1" applyAlignment="1">
      <alignment horizontal="center" vertical="center" wrapText="1"/>
    </xf>
    <xf numFmtId="9" fontId="39" fillId="0" borderId="30" xfId="63" applyFont="1" applyBorder="1" applyAlignment="1">
      <alignment horizontal="right" vertical="center" wrapText="1"/>
    </xf>
    <xf numFmtId="0" fontId="71" fillId="0" borderId="30" xfId="0" applyFont="1" applyBorder="1" applyAlignment="1">
      <alignment horizontal="center" vertical="center"/>
    </xf>
    <xf numFmtId="9" fontId="32" fillId="0" borderId="30" xfId="63" applyFont="1" applyFill="1" applyBorder="1" applyAlignment="1">
      <alignment vertical="center" wrapText="1"/>
    </xf>
    <xf numFmtId="9" fontId="39" fillId="0" borderId="30" xfId="63" applyFont="1" applyFill="1" applyBorder="1" applyAlignment="1">
      <alignment vertical="center" wrapText="1"/>
    </xf>
    <xf numFmtId="3" fontId="39" fillId="0" borderId="30" xfId="0" applyNumberFormat="1" applyFont="1" applyBorder="1" applyAlignment="1">
      <alignment horizontal="center" vertical="center" wrapText="1"/>
    </xf>
    <xf numFmtId="9" fontId="31" fillId="0" borderId="30" xfId="0" applyNumberFormat="1" applyFont="1" applyBorder="1" applyAlignment="1">
      <alignment vertical="center" wrapText="1"/>
    </xf>
    <xf numFmtId="9" fontId="8" fillId="0" borderId="30" xfId="63" applyFont="1" applyFill="1" applyBorder="1" applyAlignment="1">
      <alignment vertical="center" wrapText="1"/>
    </xf>
    <xf numFmtId="14" fontId="8" fillId="0" borderId="30" xfId="0" applyNumberFormat="1" applyFont="1" applyBorder="1" applyAlignment="1">
      <alignment vertical="center" wrapText="1"/>
    </xf>
    <xf numFmtId="0" fontId="30" fillId="0" borderId="30" xfId="0" applyFont="1" applyBorder="1" applyAlignment="1">
      <alignment vertical="center" wrapText="1"/>
    </xf>
    <xf numFmtId="0" fontId="30" fillId="0" borderId="30" xfId="0" applyFont="1" applyBorder="1" applyAlignment="1">
      <alignment horizontal="center" vertical="center" wrapText="1"/>
    </xf>
    <xf numFmtId="0" fontId="30" fillId="0" borderId="30" xfId="0" applyFont="1" applyBorder="1" applyAlignment="1">
      <alignment horizontal="left" vertical="center" wrapText="1"/>
    </xf>
    <xf numFmtId="9" fontId="30" fillId="0" borderId="30" xfId="63" applyFont="1" applyFill="1" applyBorder="1" applyAlignment="1">
      <alignment vertical="center" wrapText="1"/>
    </xf>
    <xf numFmtId="3" fontId="30" fillId="0" borderId="30" xfId="0" applyNumberFormat="1" applyFont="1" applyBorder="1" applyAlignment="1">
      <alignment vertical="center" wrapText="1"/>
    </xf>
    <xf numFmtId="14" fontId="30" fillId="0" borderId="30" xfId="0" applyNumberFormat="1" applyFont="1" applyBorder="1" applyAlignment="1">
      <alignment vertical="center" wrapText="1"/>
    </xf>
    <xf numFmtId="0" fontId="31" fillId="0" borderId="30" xfId="0" applyFont="1" applyBorder="1" applyAlignment="1">
      <alignment horizontal="left" vertical="center" wrapText="1"/>
    </xf>
    <xf numFmtId="0" fontId="31" fillId="0" borderId="30" xfId="0" applyFont="1" applyBorder="1" applyAlignment="1">
      <alignment horizontal="center" vertical="center"/>
    </xf>
    <xf numFmtId="0" fontId="31" fillId="0" borderId="30" xfId="0" applyFont="1" applyBorder="1" applyAlignment="1">
      <alignment vertical="center"/>
    </xf>
    <xf numFmtId="9" fontId="31" fillId="0" borderId="30" xfId="63" applyFont="1" applyFill="1" applyBorder="1" applyAlignment="1">
      <alignment vertical="center"/>
    </xf>
    <xf numFmtId="185" fontId="25" fillId="0" borderId="31" xfId="44" applyNumberFormat="1" applyFont="1" applyBorder="1" applyAlignment="1">
      <alignment horizontal="center" vertical="center" wrapText="1"/>
    </xf>
    <xf numFmtId="0" fontId="31" fillId="0" borderId="31" xfId="0" applyFont="1" applyBorder="1" applyAlignment="1">
      <alignment vertical="center" wrapText="1"/>
    </xf>
    <xf numFmtId="9" fontId="31" fillId="0" borderId="31" xfId="63" applyFont="1" applyFill="1" applyBorder="1" applyAlignment="1">
      <alignment horizontal="right" vertical="center" wrapText="1"/>
    </xf>
    <xf numFmtId="3" fontId="31" fillId="0" borderId="31" xfId="0" applyNumberFormat="1" applyFont="1" applyBorder="1" applyAlignment="1">
      <alignment vertical="center" wrapText="1"/>
    </xf>
    <xf numFmtId="172" fontId="31" fillId="0" borderId="30" xfId="63" applyNumberFormat="1" applyFont="1" applyFill="1" applyBorder="1" applyAlignment="1">
      <alignment vertical="center" wrapText="1"/>
    </xf>
    <xf numFmtId="172" fontId="31" fillId="0" borderId="30" xfId="63" applyNumberFormat="1" applyFont="1" applyBorder="1" applyAlignment="1">
      <alignment vertical="center" wrapText="1"/>
    </xf>
    <xf numFmtId="172" fontId="32" fillId="0" borderId="30" xfId="63" applyNumberFormat="1" applyFont="1" applyBorder="1" applyAlignment="1">
      <alignment vertical="center" wrapText="1"/>
    </xf>
    <xf numFmtId="172" fontId="39" fillId="0" borderId="30" xfId="63" applyNumberFormat="1" applyFont="1" applyBorder="1" applyAlignment="1">
      <alignment vertical="center" wrapText="1"/>
    </xf>
    <xf numFmtId="172" fontId="32" fillId="0" borderId="30" xfId="63" applyNumberFormat="1" applyFont="1" applyFill="1" applyBorder="1" applyAlignment="1">
      <alignment vertical="center" wrapText="1"/>
    </xf>
    <xf numFmtId="172" fontId="39" fillId="0" borderId="30" xfId="63" applyNumberFormat="1" applyFont="1" applyFill="1" applyBorder="1" applyAlignment="1">
      <alignment vertical="center" wrapText="1"/>
    </xf>
    <xf numFmtId="172" fontId="8" fillId="0" borderId="30" xfId="63" applyNumberFormat="1" applyFont="1" applyFill="1" applyBorder="1" applyAlignment="1">
      <alignment vertical="center" wrapText="1"/>
    </xf>
    <xf numFmtId="172" fontId="30" fillId="0" borderId="30" xfId="63" applyNumberFormat="1" applyFont="1" applyFill="1" applyBorder="1" applyAlignment="1">
      <alignment vertical="center" wrapText="1"/>
    </xf>
    <xf numFmtId="172" fontId="31" fillId="0" borderId="31" xfId="63" applyNumberFormat="1" applyFont="1" applyFill="1" applyBorder="1" applyAlignment="1">
      <alignment vertical="center" wrapText="1"/>
    </xf>
    <xf numFmtId="172" fontId="31" fillId="0" borderId="0" xfId="63" applyNumberFormat="1" applyFont="1" applyFill="1" applyBorder="1" applyAlignment="1">
      <alignment vertical="center" wrapText="1"/>
    </xf>
    <xf numFmtId="177" fontId="31" fillId="0" borderId="10" xfId="0" applyNumberFormat="1" applyFont="1" applyBorder="1" applyAlignment="1">
      <alignment vertical="center" wrapText="1"/>
    </xf>
    <xf numFmtId="177" fontId="31" fillId="0" borderId="10" xfId="0" applyNumberFormat="1" applyFont="1" applyBorder="1" applyAlignment="1">
      <alignment vertical="center"/>
    </xf>
    <xf numFmtId="0" fontId="45" fillId="0" borderId="10" xfId="0" applyFont="1" applyBorder="1" applyAlignment="1">
      <alignment vertical="center" wrapText="1"/>
    </xf>
    <xf numFmtId="0" fontId="42" fillId="0" borderId="10" xfId="0" applyFont="1" applyBorder="1" applyAlignment="1">
      <alignment vertical="center" wrapText="1"/>
    </xf>
    <xf numFmtId="0" fontId="55" fillId="0" borderId="10" xfId="0" applyFont="1" applyBorder="1" applyAlignment="1">
      <alignment vertical="center" wrapText="1"/>
    </xf>
    <xf numFmtId="177" fontId="25" fillId="0" borderId="10" xfId="0" applyNumberFormat="1" applyFont="1" applyBorder="1" applyAlignment="1">
      <alignment vertical="center" wrapText="1"/>
    </xf>
    <xf numFmtId="177" fontId="25" fillId="0" borderId="10" xfId="0" applyNumberFormat="1" applyFont="1" applyBorder="1" applyAlignment="1">
      <alignment vertical="center"/>
    </xf>
    <xf numFmtId="177" fontId="31" fillId="0" borderId="19" xfId="0" applyNumberFormat="1" applyFont="1" applyBorder="1" applyAlignment="1">
      <alignment vertical="center" wrapText="1"/>
    </xf>
    <xf numFmtId="177" fontId="31" fillId="0" borderId="19" xfId="0" applyNumberFormat="1" applyFont="1" applyBorder="1" applyAlignment="1">
      <alignment vertical="center"/>
    </xf>
    <xf numFmtId="0" fontId="64" fillId="0" borderId="0" xfId="0" applyFont="1" applyAlignment="1">
      <alignment horizontal="center" vertical="center"/>
    </xf>
    <xf numFmtId="0" fontId="64" fillId="0" borderId="0" xfId="0" applyFont="1" applyAlignment="1">
      <alignment vertical="center"/>
    </xf>
    <xf numFmtId="0" fontId="62" fillId="0" borderId="42" xfId="0" applyFont="1" applyBorder="1" applyAlignment="1">
      <alignment horizontal="center" vertical="center" wrapText="1"/>
    </xf>
    <xf numFmtId="0" fontId="65" fillId="0" borderId="42" xfId="0" applyFont="1" applyBorder="1" applyAlignment="1">
      <alignment horizontal="center" vertical="center"/>
    </xf>
    <xf numFmtId="0" fontId="87" fillId="0" borderId="42" xfId="0" applyFont="1" applyBorder="1" applyAlignment="1">
      <alignment vertical="center"/>
    </xf>
    <xf numFmtId="0" fontId="88" fillId="0" borderId="42" xfId="0" applyFont="1" applyBorder="1" applyAlignment="1">
      <alignment horizontal="left" vertical="center" wrapText="1"/>
    </xf>
    <xf numFmtId="0" fontId="88" fillId="0" borderId="42" xfId="0" applyFont="1" applyBorder="1" applyAlignment="1">
      <alignment vertical="center"/>
    </xf>
    <xf numFmtId="3" fontId="88" fillId="0" borderId="42" xfId="0" applyNumberFormat="1" applyFont="1" applyBorder="1" applyAlignment="1">
      <alignment vertical="center" wrapText="1"/>
    </xf>
    <xf numFmtId="0" fontId="62" fillId="0" borderId="30" xfId="0" applyFont="1" applyBorder="1" applyAlignment="1">
      <alignment vertical="center"/>
    </xf>
    <xf numFmtId="0" fontId="65" fillId="0" borderId="30" xfId="0" applyFont="1" applyBorder="1" applyAlignment="1">
      <alignment horizontal="center" vertical="center"/>
    </xf>
    <xf numFmtId="0" fontId="89" fillId="0" borderId="30" xfId="0" applyFont="1" applyBorder="1" applyAlignment="1">
      <alignment vertical="center"/>
    </xf>
    <xf numFmtId="0" fontId="88" fillId="0" borderId="30" xfId="0" applyFont="1" applyBorder="1" applyAlignment="1">
      <alignment horizontal="left" vertical="center" wrapText="1"/>
    </xf>
    <xf numFmtId="0" fontId="88" fillId="0" borderId="30" xfId="0" applyFont="1" applyBorder="1" applyAlignment="1">
      <alignment vertical="center"/>
    </xf>
    <xf numFmtId="3" fontId="88" fillId="0" borderId="30" xfId="0" applyNumberFormat="1" applyFont="1" applyBorder="1" applyAlignment="1">
      <alignment vertical="center" wrapText="1"/>
    </xf>
    <xf numFmtId="0" fontId="64" fillId="0" borderId="30" xfId="0" applyFont="1" applyBorder="1" applyAlignment="1">
      <alignment horizontal="center" vertical="center"/>
    </xf>
    <xf numFmtId="0" fontId="83" fillId="0" borderId="30" xfId="0" applyFont="1" applyBorder="1" applyAlignment="1">
      <alignment vertical="center" wrapText="1"/>
    </xf>
    <xf numFmtId="0" fontId="67" fillId="0" borderId="30" xfId="0" applyFont="1" applyBorder="1" applyAlignment="1">
      <alignment vertical="center"/>
    </xf>
    <xf numFmtId="0" fontId="62" fillId="0" borderId="30" xfId="0" applyFont="1" applyBorder="1" applyAlignment="1">
      <alignment horizontal="center" vertical="center"/>
    </xf>
    <xf numFmtId="0" fontId="62" fillId="0" borderId="30" xfId="0" applyFont="1" applyBorder="1" applyAlignment="1">
      <alignment horizontal="left" vertical="center" wrapText="1"/>
    </xf>
    <xf numFmtId="0" fontId="90" fillId="0" borderId="30" xfId="0" applyFont="1" applyBorder="1" applyAlignment="1">
      <alignment horizontal="left" vertical="center" wrapText="1"/>
    </xf>
    <xf numFmtId="0" fontId="61" fillId="0" borderId="30" xfId="0" applyFont="1" applyBorder="1" applyAlignment="1">
      <alignment horizontal="center" vertical="center"/>
    </xf>
    <xf numFmtId="0" fontId="90" fillId="0" borderId="30" xfId="0" applyFont="1" applyBorder="1" applyAlignment="1">
      <alignment vertical="center"/>
    </xf>
    <xf numFmtId="1" fontId="61" fillId="0" borderId="30" xfId="0" applyNumberFormat="1" applyFont="1" applyBorder="1" applyAlignment="1">
      <alignment horizontal="center" vertical="center"/>
    </xf>
    <xf numFmtId="3" fontId="90" fillId="0" borderId="30" xfId="0" applyNumberFormat="1" applyFont="1" applyBorder="1" applyAlignment="1">
      <alignment vertical="center" wrapText="1"/>
    </xf>
    <xf numFmtId="0" fontId="61" fillId="0" borderId="30" xfId="0" applyFont="1" applyBorder="1" applyAlignment="1">
      <alignment horizontal="left" vertical="center" wrapText="1"/>
    </xf>
    <xf numFmtId="0" fontId="91" fillId="0" borderId="30" xfId="0" applyFont="1" applyBorder="1" applyAlignment="1">
      <alignment vertical="center"/>
    </xf>
    <xf numFmtId="0" fontId="61" fillId="0" borderId="30" xfId="0" applyFont="1" applyBorder="1" applyAlignment="1">
      <alignment horizontal="right" vertical="center"/>
    </xf>
    <xf numFmtId="9" fontId="61" fillId="0" borderId="30" xfId="0" applyNumberFormat="1" applyFont="1" applyBorder="1" applyAlignment="1">
      <alignment horizontal="right" vertical="center"/>
    </xf>
    <xf numFmtId="3" fontId="61" fillId="0" borderId="30" xfId="0" applyNumberFormat="1" applyFont="1" applyBorder="1" applyAlignment="1">
      <alignment horizontal="right" vertical="center"/>
    </xf>
    <xf numFmtId="184" fontId="61" fillId="0" borderId="30" xfId="0" applyNumberFormat="1" applyFont="1" applyBorder="1" applyAlignment="1">
      <alignment horizontal="right" vertical="center"/>
    </xf>
    <xf numFmtId="49" fontId="61" fillId="0" borderId="30" xfId="0" applyNumberFormat="1" applyFont="1" applyBorder="1" applyAlignment="1">
      <alignment horizontal="left" vertical="center" wrapText="1"/>
    </xf>
    <xf numFmtId="0" fontId="62" fillId="0" borderId="30" xfId="0" applyFont="1" applyBorder="1" applyAlignment="1">
      <alignment vertical="center" wrapText="1"/>
    </xf>
    <xf numFmtId="175" fontId="62" fillId="0" borderId="30" xfId="0" applyNumberFormat="1" applyFont="1" applyBorder="1" applyAlignment="1">
      <alignment vertical="center" wrapText="1"/>
    </xf>
    <xf numFmtId="9" fontId="62" fillId="0" borderId="30" xfId="0" applyNumberFormat="1" applyFont="1" applyBorder="1" applyAlignment="1">
      <alignment horizontal="right" vertical="center"/>
    </xf>
    <xf numFmtId="172" fontId="62" fillId="0" borderId="30" xfId="0" applyNumberFormat="1" applyFont="1" applyBorder="1" applyAlignment="1">
      <alignment horizontal="right" vertical="center"/>
    </xf>
    <xf numFmtId="172" fontId="62" fillId="0" borderId="30" xfId="0" applyNumberFormat="1" applyFont="1" applyBorder="1" applyAlignment="1">
      <alignment horizontal="center" vertical="center"/>
    </xf>
    <xf numFmtId="0" fontId="61" fillId="0" borderId="30" xfId="0" applyFont="1" applyBorder="1" applyAlignment="1">
      <alignment vertical="center" wrapText="1"/>
    </xf>
    <xf numFmtId="175" fontId="61" fillId="0" borderId="30" xfId="0" applyNumberFormat="1" applyFont="1" applyBorder="1" applyAlignment="1">
      <alignment vertical="center" wrapText="1"/>
    </xf>
    <xf numFmtId="1" fontId="61" fillId="0" borderId="30" xfId="0" applyNumberFormat="1" applyFont="1" applyBorder="1" applyAlignment="1">
      <alignment horizontal="right" vertical="center"/>
    </xf>
    <xf numFmtId="0" fontId="62" fillId="10" borderId="30" xfId="0" applyFont="1" applyFill="1" applyBorder="1" applyAlignment="1">
      <alignment horizontal="center" vertical="center"/>
    </xf>
    <xf numFmtId="0" fontId="88" fillId="0" borderId="30" xfId="0" applyFont="1" applyBorder="1" applyAlignment="1">
      <alignment horizontal="center" vertical="center"/>
    </xf>
    <xf numFmtId="3" fontId="62" fillId="0" borderId="30" xfId="0" applyNumberFormat="1" applyFont="1" applyBorder="1" applyAlignment="1">
      <alignment horizontal="center" vertical="center"/>
    </xf>
    <xf numFmtId="3" fontId="61" fillId="0" borderId="30" xfId="0" applyNumberFormat="1" applyFont="1" applyBorder="1" applyAlignment="1">
      <alignment horizontal="center" vertical="center"/>
    </xf>
    <xf numFmtId="0" fontId="88" fillId="0" borderId="30" xfId="0" applyFont="1" applyBorder="1" applyAlignment="1">
      <alignment horizontal="right" vertical="center"/>
    </xf>
    <xf numFmtId="3" fontId="88" fillId="0" borderId="30" xfId="0" applyNumberFormat="1" applyFont="1" applyBorder="1" applyAlignment="1">
      <alignment horizontal="right" vertical="center"/>
    </xf>
    <xf numFmtId="172" fontId="88" fillId="0" borderId="30" xfId="0" applyNumberFormat="1" applyFont="1" applyBorder="1" applyAlignment="1">
      <alignment horizontal="right" vertical="center"/>
    </xf>
    <xf numFmtId="172" fontId="88" fillId="0" borderId="30" xfId="0" applyNumberFormat="1" applyFont="1" applyBorder="1" applyAlignment="1">
      <alignment horizontal="center" vertical="center"/>
    </xf>
    <xf numFmtId="0" fontId="93" fillId="0" borderId="30" xfId="0" applyFont="1" applyBorder="1" applyAlignment="1">
      <alignment vertical="center"/>
    </xf>
    <xf numFmtId="3" fontId="61" fillId="0" borderId="30" xfId="0" applyNumberFormat="1" applyFont="1" applyBorder="1" applyAlignment="1">
      <alignment horizontal="right" vertical="center" wrapText="1"/>
    </xf>
    <xf numFmtId="185" fontId="61" fillId="0" borderId="30" xfId="0" applyNumberFormat="1" applyFont="1" applyBorder="1" applyAlignment="1">
      <alignment horizontal="center" vertical="center"/>
    </xf>
    <xf numFmtId="9" fontId="61" fillId="0" borderId="30" xfId="0" applyNumberFormat="1" applyFont="1" applyBorder="1" applyAlignment="1">
      <alignment horizontal="center" vertical="center"/>
    </xf>
    <xf numFmtId="0" fontId="93" fillId="10" borderId="30" xfId="0" applyFont="1" applyFill="1" applyBorder="1" applyAlignment="1">
      <alignment vertical="center"/>
    </xf>
    <xf numFmtId="2" fontId="61" fillId="0" borderId="30" xfId="0" applyNumberFormat="1" applyFont="1" applyBorder="1" applyAlignment="1">
      <alignment horizontal="right" vertical="center"/>
    </xf>
    <xf numFmtId="0" fontId="61" fillId="10" borderId="30" xfId="0" applyFont="1" applyFill="1" applyBorder="1" applyAlignment="1">
      <alignment vertical="center"/>
    </xf>
    <xf numFmtId="0" fontId="88" fillId="10" borderId="30" xfId="0" applyFont="1" applyFill="1" applyBorder="1" applyAlignment="1">
      <alignment horizontal="center" vertical="center"/>
    </xf>
    <xf numFmtId="9" fontId="62" fillId="0" borderId="30" xfId="0" applyNumberFormat="1" applyFont="1" applyBorder="1" applyAlignment="1">
      <alignment horizontal="center" vertical="center"/>
    </xf>
    <xf numFmtId="172" fontId="61" fillId="0" borderId="30" xfId="0" applyNumberFormat="1" applyFont="1" applyBorder="1" applyAlignment="1">
      <alignment horizontal="right" vertical="center"/>
    </xf>
    <xf numFmtId="172" fontId="61" fillId="0" borderId="30" xfId="0" applyNumberFormat="1" applyFont="1" applyBorder="1" applyAlignment="1">
      <alignment horizontal="center" vertical="center"/>
    </xf>
    <xf numFmtId="3" fontId="61" fillId="0" borderId="30" xfId="0" applyNumberFormat="1" applyFont="1" applyBorder="1" applyAlignment="1">
      <alignment vertical="center"/>
    </xf>
    <xf numFmtId="49" fontId="79" fillId="0" borderId="30" xfId="0" applyNumberFormat="1" applyFont="1" applyBorder="1" applyAlignment="1">
      <alignment horizontal="left" vertical="center" wrapText="1"/>
    </xf>
    <xf numFmtId="185" fontId="62" fillId="0" borderId="30" xfId="0" applyNumberFormat="1" applyFont="1" applyBorder="1" applyAlignment="1">
      <alignment horizontal="right" vertical="center"/>
    </xf>
    <xf numFmtId="3" fontId="62" fillId="0" borderId="30" xfId="0" applyNumberFormat="1" applyFont="1" applyBorder="1" applyAlignment="1">
      <alignment horizontal="right" vertical="center"/>
    </xf>
    <xf numFmtId="0" fontId="65" fillId="10" borderId="30" xfId="0" applyFont="1" applyFill="1" applyBorder="1" applyAlignment="1">
      <alignment vertical="center"/>
    </xf>
    <xf numFmtId="0" fontId="65" fillId="10" borderId="30" xfId="0" applyFont="1" applyFill="1" applyBorder="1" applyAlignment="1">
      <alignment horizontal="center" vertical="center"/>
    </xf>
    <xf numFmtId="0" fontId="66" fillId="0" borderId="30" xfId="0" applyFont="1" applyBorder="1" applyAlignment="1">
      <alignment horizontal="left" vertical="center"/>
    </xf>
    <xf numFmtId="0" fontId="94" fillId="0" borderId="30" xfId="0" applyFont="1" applyBorder="1" applyAlignment="1">
      <alignment vertical="center"/>
    </xf>
    <xf numFmtId="0" fontId="94" fillId="0" borderId="30" xfId="0" applyFont="1" applyBorder="1" applyAlignment="1">
      <alignment horizontal="right" vertical="center"/>
    </xf>
    <xf numFmtId="3" fontId="94" fillId="0" borderId="30" xfId="0" applyNumberFormat="1" applyFont="1" applyBorder="1" applyAlignment="1">
      <alignment horizontal="right" vertical="center"/>
    </xf>
    <xf numFmtId="172" fontId="94" fillId="0" borderId="30" xfId="0" applyNumberFormat="1" applyFont="1" applyBorder="1" applyAlignment="1">
      <alignment horizontal="right" vertical="center"/>
    </xf>
    <xf numFmtId="172" fontId="94" fillId="0" borderId="30" xfId="0" applyNumberFormat="1" applyFont="1" applyBorder="1" applyAlignment="1">
      <alignment horizontal="center" vertical="center"/>
    </xf>
    <xf numFmtId="0" fontId="68" fillId="0" borderId="30" xfId="0" applyFont="1" applyBorder="1" applyAlignment="1">
      <alignment vertical="center"/>
    </xf>
    <xf numFmtId="0" fontId="65" fillId="0" borderId="30" xfId="0" applyFont="1" applyBorder="1" applyAlignment="1">
      <alignment horizontal="left" vertical="center"/>
    </xf>
    <xf numFmtId="0" fontId="95" fillId="0" borderId="30" xfId="0" applyFont="1" applyBorder="1" applyAlignment="1">
      <alignment vertical="center"/>
    </xf>
    <xf numFmtId="0" fontId="95" fillId="0" borderId="30" xfId="0" applyFont="1" applyBorder="1" applyAlignment="1">
      <alignment horizontal="right" vertical="center"/>
    </xf>
    <xf numFmtId="3" fontId="95" fillId="0" borderId="30" xfId="0" applyNumberFormat="1" applyFont="1" applyBorder="1" applyAlignment="1">
      <alignment horizontal="right" vertical="center"/>
    </xf>
    <xf numFmtId="172" fontId="95" fillId="0" borderId="30" xfId="0" applyNumberFormat="1" applyFont="1" applyBorder="1" applyAlignment="1">
      <alignment horizontal="right" vertical="center"/>
    </xf>
    <xf numFmtId="172" fontId="95" fillId="0" borderId="30" xfId="0" applyNumberFormat="1" applyFont="1" applyBorder="1" applyAlignment="1">
      <alignment horizontal="center" vertical="center"/>
    </xf>
    <xf numFmtId="0" fontId="64" fillId="10" borderId="30" xfId="0" applyFont="1" applyFill="1" applyBorder="1" applyAlignment="1">
      <alignment horizontal="center" vertical="center"/>
    </xf>
    <xf numFmtId="0" fontId="64" fillId="0" borderId="30" xfId="0" applyFont="1" applyBorder="1" applyAlignment="1">
      <alignment horizontal="left" vertical="center" wrapText="1"/>
    </xf>
    <xf numFmtId="0" fontId="62" fillId="10" borderId="30" xfId="0" applyFont="1" applyFill="1" applyBorder="1" applyAlignment="1">
      <alignment vertical="center"/>
    </xf>
    <xf numFmtId="0" fontId="62" fillId="10" borderId="30" xfId="0" applyFont="1" applyFill="1" applyBorder="1" applyAlignment="1">
      <alignment horizontal="center" vertical="center" wrapText="1"/>
    </xf>
    <xf numFmtId="0" fontId="62" fillId="0" borderId="30" xfId="0" applyFont="1" applyBorder="1" applyAlignment="1">
      <alignment horizontal="right" vertical="center"/>
    </xf>
    <xf numFmtId="0" fontId="64" fillId="10" borderId="30" xfId="0" applyFont="1" applyFill="1" applyBorder="1" applyAlignment="1">
      <alignment vertical="center"/>
    </xf>
    <xf numFmtId="0" fontId="64" fillId="10" borderId="30" xfId="0" applyFont="1" applyFill="1" applyBorder="1" applyAlignment="1">
      <alignment horizontal="center" vertical="center" wrapText="1"/>
    </xf>
    <xf numFmtId="0" fontId="83" fillId="10" borderId="30" xfId="0" applyFont="1" applyFill="1" applyBorder="1" applyAlignment="1">
      <alignment horizontal="center" vertical="center"/>
    </xf>
    <xf numFmtId="0" fontId="83" fillId="0" borderId="30" xfId="0" applyFont="1" applyBorder="1" applyAlignment="1">
      <alignment horizontal="left" vertical="center" wrapText="1"/>
    </xf>
    <xf numFmtId="0" fontId="64" fillId="0" borderId="30" xfId="0" applyFont="1" applyBorder="1" applyAlignment="1">
      <alignment vertical="center" wrapText="1"/>
    </xf>
    <xf numFmtId="0" fontId="64" fillId="0" borderId="30" xfId="0" applyFont="1" applyBorder="1" applyAlignment="1">
      <alignment horizontal="right" vertical="center"/>
    </xf>
    <xf numFmtId="9" fontId="64" fillId="0" borderId="30" xfId="0" applyNumberFormat="1" applyFont="1" applyBorder="1" applyAlignment="1">
      <alignment horizontal="right" vertical="center"/>
    </xf>
    <xf numFmtId="3" fontId="64" fillId="0" borderId="30" xfId="0" applyNumberFormat="1" applyFont="1" applyBorder="1" applyAlignment="1">
      <alignment horizontal="right" vertical="center"/>
    </xf>
    <xf numFmtId="172" fontId="64" fillId="0" borderId="30" xfId="0" applyNumberFormat="1" applyFont="1" applyBorder="1" applyAlignment="1">
      <alignment horizontal="right" vertical="center"/>
    </xf>
    <xf numFmtId="172" fontId="64" fillId="0" borderId="30" xfId="0" applyNumberFormat="1" applyFont="1" applyBorder="1" applyAlignment="1">
      <alignment horizontal="center" vertical="center"/>
    </xf>
    <xf numFmtId="0" fontId="62" fillId="6" borderId="30" xfId="0" applyFont="1" applyFill="1" applyBorder="1" applyAlignment="1">
      <alignment horizontal="center" vertical="center" wrapText="1"/>
    </xf>
    <xf numFmtId="2" fontId="61" fillId="0" borderId="30" xfId="0" applyNumberFormat="1" applyFont="1" applyBorder="1" applyAlignment="1">
      <alignment horizontal="center" vertical="center"/>
    </xf>
    <xf numFmtId="0" fontId="62" fillId="0" borderId="30" xfId="0" applyFont="1" applyBorder="1" applyAlignment="1">
      <alignment horizontal="center" vertical="center" wrapText="1"/>
    </xf>
    <xf numFmtId="0" fontId="61" fillId="0" borderId="31" xfId="0" applyFont="1" applyBorder="1" applyAlignment="1">
      <alignment horizontal="center" vertical="center"/>
    </xf>
    <xf numFmtId="9" fontId="61" fillId="0" borderId="31" xfId="0" applyNumberFormat="1" applyFont="1" applyBorder="1" applyAlignment="1">
      <alignment horizontal="center" vertical="center"/>
    </xf>
    <xf numFmtId="0" fontId="61" fillId="0" borderId="31" xfId="0" applyFont="1" applyBorder="1" applyAlignment="1">
      <alignment vertical="center" wrapText="1"/>
    </xf>
    <xf numFmtId="172" fontId="61" fillId="0" borderId="31" xfId="0" applyNumberFormat="1" applyFont="1" applyBorder="1" applyAlignment="1">
      <alignment horizontal="center" vertical="center"/>
    </xf>
    <xf numFmtId="0" fontId="61" fillId="0" borderId="31" xfId="0" applyFont="1" applyBorder="1" applyAlignment="1">
      <alignment horizontal="right" vertical="center"/>
    </xf>
    <xf numFmtId="9" fontId="61" fillId="0" borderId="31" xfId="0" applyNumberFormat="1" applyFont="1" applyBorder="1" applyAlignment="1">
      <alignment horizontal="right" vertical="center"/>
    </xf>
    <xf numFmtId="1" fontId="61" fillId="0" borderId="31" xfId="0" applyNumberFormat="1" applyFont="1" applyBorder="1" applyAlignment="1">
      <alignment horizontal="right" vertical="center"/>
    </xf>
    <xf numFmtId="172" fontId="61" fillId="0" borderId="31" xfId="0" applyNumberFormat="1" applyFont="1" applyBorder="1" applyAlignment="1">
      <alignment horizontal="right" vertical="center"/>
    </xf>
    <xf numFmtId="3" fontId="61" fillId="0" borderId="31" xfId="0" applyNumberFormat="1" applyFont="1" applyBorder="1" applyAlignment="1">
      <alignment horizontal="right" vertical="center"/>
    </xf>
    <xf numFmtId="4" fontId="61" fillId="0" borderId="31" xfId="0" applyNumberFormat="1" applyFont="1" applyBorder="1" applyAlignment="1">
      <alignment horizontal="right" vertical="center"/>
    </xf>
    <xf numFmtId="184" fontId="61" fillId="0" borderId="31" xfId="0" applyNumberFormat="1" applyFont="1" applyBorder="1" applyAlignment="1">
      <alignment horizontal="right" vertical="center"/>
    </xf>
    <xf numFmtId="49" fontId="79" fillId="0" borderId="31" xfId="0" applyNumberFormat="1" applyFont="1" applyBorder="1" applyAlignment="1">
      <alignment horizontal="left" vertical="center" wrapText="1"/>
    </xf>
    <xf numFmtId="0" fontId="96" fillId="0" borderId="30" xfId="0" applyFont="1" applyBorder="1" applyAlignment="1">
      <alignment horizontal="center" vertical="center"/>
    </xf>
    <xf numFmtId="0" fontId="96" fillId="0" borderId="30" xfId="0" applyFont="1" applyBorder="1" applyAlignment="1">
      <alignment vertical="center"/>
    </xf>
    <xf numFmtId="0" fontId="70" fillId="0" borderId="30" xfId="0" applyFont="1" applyBorder="1" applyAlignment="1">
      <alignment horizontal="left" vertical="center"/>
    </xf>
    <xf numFmtId="3" fontId="32" fillId="0" borderId="30" xfId="0" applyNumberFormat="1" applyFont="1" applyBorder="1" applyAlignment="1">
      <alignment vertical="center"/>
    </xf>
    <xf numFmtId="0" fontId="32" fillId="0" borderId="30" xfId="0" applyFont="1" applyBorder="1" applyAlignment="1">
      <alignment vertical="center"/>
    </xf>
    <xf numFmtId="0" fontId="85" fillId="0" borderId="30" xfId="0" applyFont="1" applyBorder="1" applyAlignment="1">
      <alignment horizontal="center" vertical="center"/>
    </xf>
    <xf numFmtId="0" fontId="85" fillId="0" borderId="30" xfId="0" applyFont="1" applyBorder="1" applyAlignment="1">
      <alignment vertical="center"/>
    </xf>
    <xf numFmtId="0" fontId="2" fillId="0" borderId="30" xfId="0" applyFont="1" applyBorder="1" applyAlignment="1">
      <alignment horizontal="left" vertical="center"/>
    </xf>
    <xf numFmtId="3" fontId="30" fillId="0" borderId="30" xfId="0" applyNumberFormat="1" applyFont="1" applyBorder="1" applyAlignment="1">
      <alignment vertical="center"/>
    </xf>
    <xf numFmtId="0" fontId="30" fillId="0" borderId="30" xfId="0" applyFont="1" applyBorder="1" applyAlignment="1">
      <alignment vertical="center"/>
    </xf>
    <xf numFmtId="0" fontId="37" fillId="0" borderId="30" xfId="0" applyFont="1" applyBorder="1" applyAlignment="1">
      <alignment vertical="center"/>
    </xf>
    <xf numFmtId="3" fontId="39" fillId="0" borderId="30" xfId="0" applyNumberFormat="1" applyFont="1" applyBorder="1" applyAlignment="1">
      <alignment vertical="center"/>
    </xf>
    <xf numFmtId="0" fontId="39" fillId="0" borderId="30" xfId="0" applyFont="1" applyBorder="1" applyAlignment="1">
      <alignment vertical="center"/>
    </xf>
    <xf numFmtId="2" fontId="25" fillId="0" borderId="30" xfId="0" applyNumberFormat="1" applyFont="1" applyBorder="1" applyAlignment="1">
      <alignment horizontal="center" vertical="center"/>
    </xf>
    <xf numFmtId="9" fontId="25" fillId="0" borderId="30" xfId="0" applyNumberFormat="1" applyFont="1" applyBorder="1" applyAlignment="1">
      <alignment horizontal="right" vertical="center"/>
    </xf>
    <xf numFmtId="9" fontId="31" fillId="0" borderId="30" xfId="0" applyNumberFormat="1" applyFont="1" applyBorder="1" applyAlignment="1">
      <alignment vertical="center"/>
    </xf>
    <xf numFmtId="9" fontId="31" fillId="0" borderId="30" xfId="0" applyNumberFormat="1" applyFont="1" applyBorder="1" applyAlignment="1">
      <alignment horizontal="center" vertical="center"/>
    </xf>
    <xf numFmtId="3" fontId="25" fillId="0" borderId="30" xfId="0" applyNumberFormat="1" applyFont="1" applyBorder="1" applyAlignment="1">
      <alignment horizontal="right" vertical="center"/>
    </xf>
    <xf numFmtId="10" fontId="31" fillId="0" borderId="30" xfId="0" applyNumberFormat="1" applyFont="1" applyBorder="1" applyAlignment="1">
      <alignment vertical="center"/>
    </xf>
    <xf numFmtId="0" fontId="36" fillId="0" borderId="30" xfId="0" applyFont="1" applyBorder="1" applyAlignment="1">
      <alignment horizontal="left" vertical="center" wrapText="1"/>
    </xf>
    <xf numFmtId="184" fontId="25" fillId="0" borderId="30" xfId="0" applyNumberFormat="1" applyFont="1" applyBorder="1" applyAlignment="1">
      <alignment horizontal="right" vertical="center"/>
    </xf>
    <xf numFmtId="177" fontId="25" fillId="0" borderId="30" xfId="0" applyNumberFormat="1" applyFont="1" applyBorder="1" applyAlignment="1">
      <alignment horizontal="right" vertical="center"/>
    </xf>
    <xf numFmtId="0" fontId="25" fillId="0" borderId="30" xfId="0" applyFont="1" applyBorder="1" applyAlignment="1">
      <alignment horizontal="justify" vertical="center" wrapText="1"/>
    </xf>
    <xf numFmtId="175" fontId="25" fillId="0" borderId="30" xfId="0" applyNumberFormat="1" applyFont="1" applyBorder="1" applyAlignment="1">
      <alignment horizontal="center" vertical="center"/>
    </xf>
    <xf numFmtId="2" fontId="25" fillId="0" borderId="30" xfId="0" applyNumberFormat="1" applyFont="1" applyBorder="1" applyAlignment="1">
      <alignment vertical="center"/>
    </xf>
    <xf numFmtId="49" fontId="25" fillId="0" borderId="31" xfId="44" applyNumberFormat="1" applyFont="1" applyBorder="1" applyAlignment="1">
      <alignment vertical="center"/>
    </xf>
    <xf numFmtId="175" fontId="25" fillId="0" borderId="31" xfId="0" applyNumberFormat="1" applyFont="1" applyBorder="1" applyAlignment="1">
      <alignment horizontal="center" vertical="center"/>
    </xf>
    <xf numFmtId="9" fontId="25" fillId="0" borderId="31" xfId="0" applyNumberFormat="1" applyFont="1" applyBorder="1" applyAlignment="1">
      <alignment horizontal="right" vertical="center"/>
    </xf>
    <xf numFmtId="1" fontId="25" fillId="0" borderId="31" xfId="0" applyNumberFormat="1" applyFont="1" applyBorder="1" applyAlignment="1">
      <alignment vertical="center"/>
    </xf>
    <xf numFmtId="0" fontId="31" fillId="0" borderId="31" xfId="0" applyFont="1" applyBorder="1" applyAlignment="1">
      <alignment vertical="center"/>
    </xf>
    <xf numFmtId="0" fontId="2" fillId="0" borderId="0" xfId="0" applyFont="1" applyAlignment="1">
      <alignment horizontal="right" vertical="center"/>
    </xf>
    <xf numFmtId="3" fontId="30" fillId="0" borderId="0" xfId="0" applyNumberFormat="1" applyFont="1" applyAlignment="1">
      <alignment vertical="center"/>
    </xf>
    <xf numFmtId="9" fontId="8" fillId="0" borderId="0" xfId="0" applyNumberFormat="1" applyFont="1" applyAlignment="1">
      <alignment horizontal="right" vertical="center"/>
    </xf>
    <xf numFmtId="0" fontId="8" fillId="0" borderId="0" xfId="0" applyFont="1" applyAlignment="1">
      <alignment horizontal="right" vertical="center"/>
    </xf>
    <xf numFmtId="9" fontId="8" fillId="0" borderId="0" xfId="0" applyNumberFormat="1" applyFont="1" applyAlignment="1">
      <alignment horizontal="center" vertical="center"/>
    </xf>
    <xf numFmtId="172" fontId="8" fillId="0" borderId="0" xfId="44" applyNumberFormat="1" applyFont="1" applyAlignment="1">
      <alignment horizontal="right" vertical="center"/>
    </xf>
    <xf numFmtId="1" fontId="73" fillId="0" borderId="0" xfId="0" applyNumberFormat="1" applyFont="1" applyAlignment="1">
      <alignment horizontal="center" vertical="center"/>
    </xf>
    <xf numFmtId="0" fontId="96" fillId="0" borderId="42" xfId="0" applyFont="1" applyBorder="1" applyAlignment="1">
      <alignment horizontal="center" vertical="center"/>
    </xf>
    <xf numFmtId="0" fontId="70" fillId="0" borderId="42" xfId="0" applyFont="1" applyBorder="1" applyAlignment="1">
      <alignment horizontal="left" vertical="center"/>
    </xf>
    <xf numFmtId="0" fontId="70" fillId="0" borderId="42" xfId="0" applyFont="1" applyBorder="1" applyAlignment="1">
      <alignment vertical="center"/>
    </xf>
    <xf numFmtId="3" fontId="32" fillId="0" borderId="42" xfId="0" applyNumberFormat="1" applyFont="1" applyBorder="1" applyAlignment="1">
      <alignment vertical="center"/>
    </xf>
    <xf numFmtId="0" fontId="32" fillId="0" borderId="42" xfId="0" applyFont="1" applyBorder="1" applyAlignment="1">
      <alignment vertical="center"/>
    </xf>
    <xf numFmtId="0" fontId="70" fillId="0" borderId="30" xfId="43" applyFont="1" applyBorder="1" applyAlignment="1">
      <alignment vertical="center"/>
    </xf>
    <xf numFmtId="49" fontId="25" fillId="0" borderId="30" xfId="44" applyNumberFormat="1" applyFont="1" applyBorder="1" applyAlignment="1">
      <alignment vertical="center"/>
    </xf>
    <xf numFmtId="184" fontId="25" fillId="0" borderId="31" xfId="0" applyNumberFormat="1" applyFont="1" applyBorder="1" applyAlignment="1">
      <alignment horizontal="right" vertical="center"/>
    </xf>
    <xf numFmtId="177" fontId="25" fillId="0" borderId="31" xfId="0" applyNumberFormat="1" applyFont="1" applyBorder="1" applyAlignment="1">
      <alignment horizontal="right" vertical="center"/>
    </xf>
    <xf numFmtId="0" fontId="25" fillId="0" borderId="31" xfId="0" applyFont="1" applyBorder="1" applyAlignment="1">
      <alignment horizontal="justify" vertical="center" wrapText="1"/>
    </xf>
    <xf numFmtId="0" fontId="97" fillId="0" borderId="42" xfId="0" applyFont="1" applyBorder="1" applyAlignment="1">
      <alignment vertical="center"/>
    </xf>
    <xf numFmtId="172" fontId="31" fillId="0" borderId="30" xfId="0" applyNumberFormat="1" applyFont="1" applyBorder="1" applyAlignment="1">
      <alignment vertical="center"/>
    </xf>
    <xf numFmtId="172" fontId="31" fillId="0" borderId="30" xfId="0" applyNumberFormat="1" applyFont="1" applyBorder="1" applyAlignment="1">
      <alignment horizontal="center" vertical="center"/>
    </xf>
    <xf numFmtId="172" fontId="31" fillId="0" borderId="31" xfId="0" applyNumberFormat="1" applyFont="1" applyBorder="1" applyAlignment="1">
      <alignment vertical="center"/>
    </xf>
    <xf numFmtId="172" fontId="39" fillId="0" borderId="0" xfId="68" applyNumberFormat="1" applyFont="1" applyAlignment="1">
      <alignment vertical="center"/>
    </xf>
    <xf numFmtId="0" fontId="32" fillId="0" borderId="30" xfId="0" applyFont="1" applyBorder="1" applyAlignment="1">
      <alignment horizontal="center" vertical="center"/>
    </xf>
    <xf numFmtId="0" fontId="86" fillId="0" borderId="30" xfId="0" applyFont="1" applyBorder="1" applyAlignment="1">
      <alignment horizontal="left" vertical="center" wrapText="1"/>
    </xf>
    <xf numFmtId="0" fontId="86" fillId="0" borderId="30" xfId="0" applyFont="1" applyBorder="1" applyAlignment="1">
      <alignment horizontal="center" vertical="center"/>
    </xf>
    <xf numFmtId="0" fontId="86" fillId="0" borderId="30" xfId="0" applyFont="1" applyBorder="1" applyAlignment="1">
      <alignment vertical="center"/>
    </xf>
    <xf numFmtId="1" fontId="86" fillId="0" borderId="30" xfId="0" applyNumberFormat="1" applyFont="1" applyBorder="1" applyAlignment="1">
      <alignment horizontal="center" vertical="center"/>
    </xf>
    <xf numFmtId="9" fontId="39" fillId="0" borderId="30" xfId="0" applyNumberFormat="1" applyFont="1" applyBorder="1" applyAlignment="1">
      <alignment horizontal="left" vertical="center" wrapText="1"/>
    </xf>
    <xf numFmtId="3" fontId="86" fillId="0" borderId="30" xfId="0" applyNumberFormat="1" applyFont="1" applyBorder="1" applyAlignment="1">
      <alignment vertical="center" wrapText="1"/>
    </xf>
    <xf numFmtId="0" fontId="30" fillId="0" borderId="30" xfId="0" applyFont="1" applyBorder="1" applyAlignment="1">
      <alignment horizontal="center" vertical="center"/>
    </xf>
    <xf numFmtId="0" fontId="30" fillId="0" borderId="30" xfId="0" applyFont="1" applyBorder="1" applyAlignment="1">
      <alignment horizontal="left" vertical="center"/>
    </xf>
    <xf numFmtId="9" fontId="39" fillId="0" borderId="30" xfId="0" applyNumberFormat="1" applyFont="1" applyBorder="1" applyAlignment="1">
      <alignment horizontal="right" vertical="center" wrapText="1"/>
    </xf>
    <xf numFmtId="0" fontId="39" fillId="0" borderId="30" xfId="0" applyFont="1" applyBorder="1" applyAlignment="1">
      <alignment horizontal="center" vertical="center"/>
    </xf>
    <xf numFmtId="1" fontId="39" fillId="0" borderId="30" xfId="0" applyNumberFormat="1" applyFont="1" applyBorder="1" applyAlignment="1">
      <alignment horizontal="center" vertical="center"/>
    </xf>
    <xf numFmtId="49" fontId="31" fillId="0" borderId="30" xfId="0" applyNumberFormat="1" applyFont="1" applyBorder="1" applyAlignment="1">
      <alignment horizontal="center" vertical="center"/>
    </xf>
    <xf numFmtId="0" fontId="71" fillId="0" borderId="30" xfId="0" applyFont="1" applyBorder="1" applyAlignment="1">
      <alignment vertical="center" wrapText="1"/>
    </xf>
    <xf numFmtId="49" fontId="36" fillId="0" borderId="30" xfId="0" applyNumberFormat="1" applyFont="1" applyBorder="1" applyAlignment="1">
      <alignment horizontal="right" vertical="center" wrapText="1"/>
    </xf>
    <xf numFmtId="9" fontId="36" fillId="0" borderId="30" xfId="0" applyNumberFormat="1" applyFont="1" applyBorder="1" applyAlignment="1">
      <alignment horizontal="right" vertical="center" wrapText="1"/>
    </xf>
    <xf numFmtId="1" fontId="31" fillId="0" borderId="30" xfId="63" applyNumberFormat="1" applyFont="1" applyBorder="1" applyAlignment="1">
      <alignment vertical="center" wrapText="1"/>
    </xf>
    <xf numFmtId="3" fontId="31" fillId="0" borderId="30" xfId="0" applyNumberFormat="1" applyFont="1" applyBorder="1" applyAlignment="1">
      <alignment horizontal="right" vertical="center" wrapText="1"/>
    </xf>
    <xf numFmtId="49" fontId="31" fillId="0" borderId="30" xfId="0" applyNumberFormat="1" applyFont="1" applyBorder="1" applyAlignment="1">
      <alignment horizontal="left" vertical="center" wrapText="1"/>
    </xf>
    <xf numFmtId="49" fontId="31" fillId="0" borderId="30" xfId="0" applyNumberFormat="1" applyFont="1" applyBorder="1" applyAlignment="1">
      <alignment horizontal="center" vertical="center" wrapText="1"/>
    </xf>
    <xf numFmtId="49" fontId="31" fillId="0" borderId="30" xfId="0" applyNumberFormat="1" applyFont="1" applyBorder="1" applyAlignment="1">
      <alignment horizontal="right" vertical="center" wrapText="1"/>
    </xf>
    <xf numFmtId="9" fontId="31" fillId="0" borderId="30" xfId="0" applyNumberFormat="1" applyFont="1" applyBorder="1" applyAlignment="1">
      <alignment horizontal="right" vertical="center" wrapText="1"/>
    </xf>
    <xf numFmtId="1" fontId="31" fillId="0" borderId="30" xfId="63" applyNumberFormat="1" applyFont="1" applyBorder="1" applyAlignment="1">
      <alignment horizontal="right" vertical="center" wrapText="1"/>
    </xf>
    <xf numFmtId="1" fontId="31" fillId="0" borderId="30" xfId="0" applyNumberFormat="1" applyFont="1" applyBorder="1" applyAlignment="1">
      <alignment horizontal="right" vertical="center" wrapText="1"/>
    </xf>
    <xf numFmtId="172" fontId="31" fillId="0" borderId="30" xfId="0" applyNumberFormat="1" applyFont="1" applyBorder="1" applyAlignment="1">
      <alignment horizontal="right" vertical="center" wrapText="1"/>
    </xf>
    <xf numFmtId="14" fontId="31" fillId="0" borderId="30" xfId="0" applyNumberFormat="1" applyFont="1" applyBorder="1" applyAlignment="1">
      <alignment vertical="center"/>
    </xf>
    <xf numFmtId="186" fontId="31" fillId="0" borderId="30" xfId="0" applyNumberFormat="1" applyFont="1" applyBorder="1" applyAlignment="1">
      <alignment horizontal="left" vertical="center" wrapText="1"/>
    </xf>
    <xf numFmtId="9" fontId="31" fillId="0" borderId="30" xfId="0" applyNumberFormat="1" applyFont="1" applyBorder="1" applyAlignment="1">
      <alignment horizontal="left" vertical="center" wrapText="1"/>
    </xf>
    <xf numFmtId="0" fontId="71" fillId="0" borderId="30" xfId="0" applyFont="1" applyBorder="1" applyAlignment="1">
      <alignment horizontal="center" vertical="center" wrapText="1"/>
    </xf>
    <xf numFmtId="0" fontId="86" fillId="0" borderId="30" xfId="0" applyFont="1" applyBorder="1" applyAlignment="1">
      <alignment vertical="center" wrapText="1"/>
    </xf>
    <xf numFmtId="0" fontId="36" fillId="0" borderId="30" xfId="0" applyFont="1" applyBorder="1" applyAlignment="1">
      <alignment horizontal="center" vertical="center" wrapText="1"/>
    </xf>
    <xf numFmtId="0" fontId="36" fillId="0" borderId="30" xfId="0" applyFont="1" applyBorder="1" applyAlignment="1">
      <alignment vertical="center" wrapText="1"/>
    </xf>
    <xf numFmtId="1" fontId="36" fillId="0" borderId="30" xfId="0" applyNumberFormat="1" applyFont="1" applyBorder="1" applyAlignment="1">
      <alignment horizontal="center" vertical="center" wrapText="1"/>
    </xf>
    <xf numFmtId="9" fontId="36" fillId="0" borderId="30" xfId="0" applyNumberFormat="1" applyFont="1" applyBorder="1" applyAlignment="1">
      <alignment vertical="center" wrapText="1"/>
    </xf>
    <xf numFmtId="0" fontId="36" fillId="0" borderId="30" xfId="0" applyFont="1" applyBorder="1" applyAlignment="1">
      <alignment horizontal="center" vertical="center"/>
    </xf>
    <xf numFmtId="0" fontId="36" fillId="10" borderId="30" xfId="0" applyFont="1" applyFill="1" applyBorder="1" applyAlignment="1">
      <alignment horizontal="center" vertical="center" wrapText="1"/>
    </xf>
    <xf numFmtId="0" fontId="36" fillId="10" borderId="30" xfId="0" applyFont="1" applyFill="1" applyBorder="1" applyAlignment="1">
      <alignment vertical="center" wrapText="1"/>
    </xf>
    <xf numFmtId="0" fontId="71" fillId="0" borderId="30" xfId="0" applyFont="1" applyBorder="1" applyAlignment="1">
      <alignment vertical="center"/>
    </xf>
    <xf numFmtId="9" fontId="36" fillId="0" borderId="30" xfId="0" applyNumberFormat="1" applyFont="1" applyBorder="1" applyAlignment="1">
      <alignment horizontal="center" vertical="center" wrapText="1"/>
    </xf>
    <xf numFmtId="9" fontId="36" fillId="10" borderId="30" xfId="0" applyNumberFormat="1" applyFont="1" applyFill="1" applyBorder="1" applyAlignment="1">
      <alignment vertical="center" wrapText="1"/>
    </xf>
    <xf numFmtId="1" fontId="36" fillId="0" borderId="30" xfId="0" applyNumberFormat="1" applyFont="1" applyBorder="1" applyAlignment="1">
      <alignment vertical="center" wrapText="1"/>
    </xf>
    <xf numFmtId="1" fontId="31" fillId="0" borderId="30" xfId="0" applyNumberFormat="1" applyFont="1" applyBorder="1" applyAlignment="1">
      <alignment horizontal="center" vertical="center"/>
    </xf>
    <xf numFmtId="0" fontId="57" fillId="0" borderId="30" xfId="0" applyFont="1" applyBorder="1" applyAlignment="1">
      <alignment horizontal="center" vertical="center"/>
    </xf>
    <xf numFmtId="3" fontId="31" fillId="0" borderId="30" xfId="0" applyNumberFormat="1" applyFont="1" applyBorder="1" applyAlignment="1">
      <alignment horizontal="center" vertical="center" wrapText="1"/>
    </xf>
    <xf numFmtId="9" fontId="31" fillId="0" borderId="30" xfId="0" applyNumberFormat="1" applyFont="1" applyBorder="1" applyAlignment="1">
      <alignment horizontal="center" vertical="center" wrapText="1"/>
    </xf>
    <xf numFmtId="3" fontId="31" fillId="0" borderId="30" xfId="0" applyNumberFormat="1" applyFont="1" applyBorder="1" applyAlignment="1">
      <alignment vertical="center"/>
    </xf>
    <xf numFmtId="10" fontId="31" fillId="0" borderId="30" xfId="0" applyNumberFormat="1" applyFont="1" applyBorder="1" applyAlignment="1">
      <alignment vertical="center" wrapText="1"/>
    </xf>
    <xf numFmtId="10" fontId="31" fillId="0" borderId="30" xfId="0" applyNumberFormat="1" applyFont="1" applyBorder="1" applyAlignment="1">
      <alignment horizontal="right" vertical="center" wrapText="1"/>
    </xf>
    <xf numFmtId="1" fontId="39" fillId="0" borderId="0" xfId="0" applyNumberFormat="1" applyFont="1" applyAlignment="1">
      <alignment horizontal="center" vertical="center"/>
    </xf>
    <xf numFmtId="0" fontId="30" fillId="0" borderId="42" xfId="0" applyFont="1" applyBorder="1" applyAlignment="1">
      <alignment vertical="center"/>
    </xf>
    <xf numFmtId="0" fontId="32" fillId="0" borderId="42" xfId="0" applyFont="1" applyBorder="1" applyAlignment="1">
      <alignment horizontal="center" vertical="center"/>
    </xf>
    <xf numFmtId="0" fontId="33" fillId="0" borderId="42" xfId="0" applyFont="1" applyBorder="1" applyAlignment="1">
      <alignment vertical="center"/>
    </xf>
    <xf numFmtId="0" fontId="86" fillId="0" borderId="42" xfId="0" applyFont="1" applyBorder="1" applyAlignment="1">
      <alignment horizontal="left" vertical="center" wrapText="1"/>
    </xf>
    <xf numFmtId="0" fontId="86" fillId="0" borderId="42" xfId="0" applyFont="1" applyBorder="1" applyAlignment="1">
      <alignment horizontal="center" vertical="center"/>
    </xf>
    <xf numFmtId="0" fontId="86" fillId="0" borderId="42" xfId="0" applyFont="1" applyBorder="1" applyAlignment="1">
      <alignment vertical="center"/>
    </xf>
    <xf numFmtId="1" fontId="86" fillId="0" borderId="42" xfId="0" applyNumberFormat="1" applyFont="1" applyBorder="1" applyAlignment="1">
      <alignment horizontal="center" vertical="center"/>
    </xf>
    <xf numFmtId="3" fontId="39" fillId="0" borderId="42" xfId="0" applyNumberFormat="1" applyFont="1" applyBorder="1" applyAlignment="1">
      <alignment vertical="center" wrapText="1"/>
    </xf>
    <xf numFmtId="9" fontId="39" fillId="0" borderId="42" xfId="0" applyNumberFormat="1" applyFont="1" applyBorder="1" applyAlignment="1">
      <alignment horizontal="left" vertical="center" wrapText="1"/>
    </xf>
    <xf numFmtId="3" fontId="86" fillId="0" borderId="42" xfId="0" applyNumberFormat="1" applyFont="1" applyBorder="1" applyAlignment="1">
      <alignment vertical="center" wrapText="1"/>
    </xf>
    <xf numFmtId="0" fontId="39" fillId="0" borderId="42" xfId="0" applyFont="1" applyBorder="1" applyAlignment="1">
      <alignment vertical="center"/>
    </xf>
    <xf numFmtId="0" fontId="31" fillId="0" borderId="31" xfId="0" applyFont="1" applyBorder="1" applyAlignment="1">
      <alignment horizontal="center" vertical="center" wrapText="1"/>
    </xf>
    <xf numFmtId="1" fontId="31" fillId="0" borderId="31" xfId="0" applyNumberFormat="1" applyFont="1" applyBorder="1" applyAlignment="1">
      <alignment horizontal="center" vertical="center" wrapText="1"/>
    </xf>
    <xf numFmtId="9" fontId="31" fillId="0" borderId="31" xfId="0" applyNumberFormat="1" applyFont="1" applyBorder="1" applyAlignment="1">
      <alignment vertical="center" wrapText="1"/>
    </xf>
    <xf numFmtId="1" fontId="31" fillId="0" borderId="31" xfId="0" applyNumberFormat="1" applyFont="1" applyBorder="1" applyAlignment="1">
      <alignment horizontal="right" vertical="center" wrapText="1"/>
    </xf>
    <xf numFmtId="9" fontId="31" fillId="0" borderId="31" xfId="0" applyNumberFormat="1" applyFont="1" applyBorder="1" applyAlignment="1">
      <alignment horizontal="right" vertical="center" wrapText="1"/>
    </xf>
    <xf numFmtId="3" fontId="31" fillId="0" borderId="31" xfId="0" applyNumberFormat="1" applyFont="1" applyBorder="1" applyAlignment="1">
      <alignment horizontal="right" vertical="center" wrapText="1"/>
    </xf>
    <xf numFmtId="14" fontId="31" fillId="0" borderId="31" xfId="0" applyNumberFormat="1" applyFont="1" applyBorder="1" applyAlignment="1">
      <alignment vertical="center"/>
    </xf>
    <xf numFmtId="9" fontId="39" fillId="0" borderId="0" xfId="0" applyNumberFormat="1" applyFont="1" applyAlignment="1">
      <alignment vertical="center"/>
    </xf>
    <xf numFmtId="49" fontId="31" fillId="0" borderId="30" xfId="0" applyNumberFormat="1" applyFont="1" applyBorder="1" applyAlignment="1">
      <alignment vertical="center" wrapText="1"/>
    </xf>
    <xf numFmtId="0" fontId="61" fillId="6" borderId="0" xfId="0" applyFont="1" applyFill="1" applyAlignment="1">
      <alignment horizontal="center" vertical="center"/>
    </xf>
    <xf numFmtId="0" fontId="64" fillId="6" borderId="0" xfId="0" applyFont="1" applyFill="1" applyAlignment="1">
      <alignment horizontal="center" vertical="center"/>
    </xf>
    <xf numFmtId="0" fontId="64" fillId="6" borderId="0" xfId="0" applyFont="1" applyFill="1" applyAlignment="1">
      <alignment horizontal="left" vertical="center"/>
    </xf>
    <xf numFmtId="0" fontId="64" fillId="6" borderId="0" xfId="0" applyFont="1" applyFill="1" applyAlignment="1">
      <alignment vertical="center"/>
    </xf>
    <xf numFmtId="3" fontId="64" fillId="6" borderId="0" xfId="0" applyNumberFormat="1" applyFont="1" applyFill="1" applyAlignment="1">
      <alignment vertical="center"/>
    </xf>
    <xf numFmtId="172" fontId="64" fillId="6" borderId="0" xfId="0" applyNumberFormat="1" applyFont="1" applyFill="1" applyAlignment="1">
      <alignment vertical="center"/>
    </xf>
    <xf numFmtId="0" fontId="64" fillId="6" borderId="0" xfId="0" applyFont="1" applyFill="1" applyAlignment="1">
      <alignment vertical="center" wrapText="1"/>
    </xf>
    <xf numFmtId="0" fontId="61" fillId="0" borderId="0" xfId="0" applyFont="1" applyAlignment="1">
      <alignment horizontal="center" vertical="center"/>
    </xf>
    <xf numFmtId="0" fontId="61" fillId="0" borderId="0" xfId="0" applyFont="1" applyAlignment="1">
      <alignment horizontal="center" vertical="center" wrapText="1"/>
    </xf>
    <xf numFmtId="0" fontId="61" fillId="0" borderId="0" xfId="0" applyFont="1" applyAlignment="1">
      <alignment vertical="center"/>
    </xf>
    <xf numFmtId="172" fontId="61" fillId="0" borderId="0" xfId="0" applyNumberFormat="1" applyFont="1" applyAlignment="1">
      <alignment vertical="center"/>
    </xf>
    <xf numFmtId="3" fontId="61" fillId="0" borderId="0" xfId="0" applyNumberFormat="1" applyFont="1" applyAlignment="1">
      <alignment horizontal="right" vertical="center" wrapText="1"/>
    </xf>
    <xf numFmtId="177" fontId="61" fillId="0" borderId="0" xfId="0" applyNumberFormat="1" applyFont="1" applyAlignment="1">
      <alignment horizontal="center" vertical="center"/>
    </xf>
    <xf numFmtId="177" fontId="61" fillId="0" borderId="0" xfId="0" applyNumberFormat="1" applyFont="1" applyAlignment="1">
      <alignment vertical="center"/>
    </xf>
    <xf numFmtId="0" fontId="61" fillId="0" borderId="0" xfId="0" applyFont="1" applyAlignment="1">
      <alignment horizontal="left" vertical="center" wrapText="1"/>
    </xf>
    <xf numFmtId="0" fontId="31" fillId="6" borderId="42" xfId="0" applyFont="1" applyFill="1" applyBorder="1" applyAlignment="1">
      <alignment horizontal="center" vertical="center"/>
    </xf>
    <xf numFmtId="3" fontId="32" fillId="6" borderId="42" xfId="0" applyNumberFormat="1" applyFont="1" applyFill="1" applyBorder="1" applyAlignment="1">
      <alignment vertical="center" wrapText="1"/>
    </xf>
    <xf numFmtId="172" fontId="32" fillId="6" borderId="42" xfId="0" applyNumberFormat="1" applyFont="1" applyFill="1" applyBorder="1" applyAlignment="1">
      <alignment horizontal="center" vertical="center" wrapText="1"/>
    </xf>
    <xf numFmtId="3" fontId="32" fillId="6" borderId="42" xfId="0" applyNumberFormat="1" applyFont="1" applyFill="1" applyBorder="1" applyAlignment="1">
      <alignment vertical="center"/>
    </xf>
    <xf numFmtId="10" fontId="32" fillId="6" borderId="42" xfId="0" applyNumberFormat="1" applyFont="1" applyFill="1" applyBorder="1" applyAlignment="1">
      <alignment vertical="center"/>
    </xf>
    <xf numFmtId="0" fontId="32" fillId="6" borderId="42" xfId="0" applyFont="1" applyFill="1" applyBorder="1" applyAlignment="1">
      <alignment horizontal="center" vertical="center"/>
    </xf>
    <xf numFmtId="0" fontId="32" fillId="6" borderId="42" xfId="0" applyFont="1" applyFill="1" applyBorder="1" applyAlignment="1">
      <alignment vertical="center"/>
    </xf>
    <xf numFmtId="0" fontId="32" fillId="6" borderId="42" xfId="0" applyFont="1" applyFill="1" applyBorder="1" applyAlignment="1">
      <alignment horizontal="left" vertical="center"/>
    </xf>
    <xf numFmtId="0" fontId="31" fillId="6" borderId="30" xfId="0" applyFont="1" applyFill="1" applyBorder="1" applyAlignment="1">
      <alignment horizontal="center" vertical="center"/>
    </xf>
    <xf numFmtId="0" fontId="32" fillId="6" borderId="30" xfId="0" applyFont="1" applyFill="1" applyBorder="1" applyAlignment="1">
      <alignment horizontal="left" vertical="center" wrapText="1"/>
    </xf>
    <xf numFmtId="3" fontId="32" fillId="6" borderId="30" xfId="0" applyNumberFormat="1" applyFont="1" applyFill="1" applyBorder="1" applyAlignment="1">
      <alignment vertical="center" wrapText="1"/>
    </xf>
    <xf numFmtId="172" fontId="32" fillId="6" borderId="30" xfId="0" applyNumberFormat="1" applyFont="1" applyFill="1" applyBorder="1" applyAlignment="1">
      <alignment horizontal="center" vertical="center" wrapText="1"/>
    </xf>
    <xf numFmtId="10" fontId="32" fillId="6" borderId="30" xfId="0" applyNumberFormat="1" applyFont="1" applyFill="1" applyBorder="1" applyAlignment="1">
      <alignment horizontal="center" vertical="center" wrapText="1"/>
    </xf>
    <xf numFmtId="3" fontId="32" fillId="6" borderId="30" xfId="0" applyNumberFormat="1" applyFont="1" applyFill="1" applyBorder="1" applyAlignment="1">
      <alignment vertical="center"/>
    </xf>
    <xf numFmtId="10" fontId="32" fillId="6" borderId="30" xfId="0" applyNumberFormat="1" applyFont="1" applyFill="1" applyBorder="1" applyAlignment="1">
      <alignment vertical="center"/>
    </xf>
    <xf numFmtId="0" fontId="32" fillId="6" borderId="30" xfId="0" applyFont="1" applyFill="1" applyBorder="1" applyAlignment="1">
      <alignment horizontal="center" vertical="center"/>
    </xf>
    <xf numFmtId="0" fontId="32" fillId="6" borderId="30" xfId="0" applyFont="1" applyFill="1" applyBorder="1" applyAlignment="1">
      <alignment vertical="center"/>
    </xf>
    <xf numFmtId="0" fontId="32" fillId="6" borderId="30" xfId="0" applyFont="1" applyFill="1" applyBorder="1" applyAlignment="1">
      <alignment horizontal="left" vertical="center"/>
    </xf>
    <xf numFmtId="0" fontId="30" fillId="6" borderId="30" xfId="0" applyFont="1" applyFill="1" applyBorder="1" applyAlignment="1">
      <alignment horizontal="left" vertical="center" wrapText="1"/>
    </xf>
    <xf numFmtId="3" fontId="30" fillId="6" borderId="30" xfId="0" applyNumberFormat="1" applyFont="1" applyFill="1" applyBorder="1" applyAlignment="1">
      <alignment vertical="center" wrapText="1"/>
    </xf>
    <xf numFmtId="172" fontId="30" fillId="6" borderId="30" xfId="0" applyNumberFormat="1" applyFont="1" applyFill="1" applyBorder="1" applyAlignment="1">
      <alignment horizontal="center" vertical="center" wrapText="1"/>
    </xf>
    <xf numFmtId="10" fontId="30" fillId="6" borderId="30" xfId="0" applyNumberFormat="1" applyFont="1" applyFill="1" applyBorder="1" applyAlignment="1">
      <alignment horizontal="center" vertical="center" wrapText="1"/>
    </xf>
    <xf numFmtId="3" fontId="30" fillId="6" borderId="30" xfId="0" applyNumberFormat="1" applyFont="1" applyFill="1" applyBorder="1" applyAlignment="1">
      <alignment vertical="center"/>
    </xf>
    <xf numFmtId="10" fontId="30" fillId="6" borderId="30" xfId="0" applyNumberFormat="1" applyFont="1" applyFill="1" applyBorder="1" applyAlignment="1">
      <alignment vertical="center"/>
    </xf>
    <xf numFmtId="0" fontId="30" fillId="6" borderId="30" xfId="0" applyFont="1" applyFill="1" applyBorder="1" applyAlignment="1">
      <alignment horizontal="center" vertical="center"/>
    </xf>
    <xf numFmtId="0" fontId="30" fillId="6" borderId="30" xfId="0" applyFont="1" applyFill="1" applyBorder="1" applyAlignment="1">
      <alignment vertical="center"/>
    </xf>
    <xf numFmtId="0" fontId="30" fillId="6" borderId="30" xfId="0" applyFont="1" applyFill="1" applyBorder="1" applyAlignment="1">
      <alignment horizontal="left" vertical="center"/>
    </xf>
    <xf numFmtId="0" fontId="39" fillId="6" borderId="30" xfId="0" applyFont="1" applyFill="1" applyBorder="1" applyAlignment="1">
      <alignment horizontal="left" vertical="center" wrapText="1"/>
    </xf>
    <xf numFmtId="172" fontId="39" fillId="0" borderId="30" xfId="0" applyNumberFormat="1" applyFont="1" applyBorder="1" applyAlignment="1">
      <alignment horizontal="center" vertical="center" wrapText="1"/>
    </xf>
    <xf numFmtId="10" fontId="39" fillId="0" borderId="30" xfId="0" applyNumberFormat="1" applyFont="1" applyBorder="1" applyAlignment="1">
      <alignment horizontal="center" vertical="center" wrapText="1"/>
    </xf>
    <xf numFmtId="10" fontId="39" fillId="0" borderId="30" xfId="0" applyNumberFormat="1" applyFont="1" applyBorder="1" applyAlignment="1">
      <alignment vertical="center"/>
    </xf>
    <xf numFmtId="0" fontId="39" fillId="0" borderId="30" xfId="0" applyFont="1" applyBorder="1" applyAlignment="1">
      <alignment horizontal="left" vertical="center"/>
    </xf>
    <xf numFmtId="177" fontId="31" fillId="0" borderId="30" xfId="0" applyNumberFormat="1" applyFont="1" applyBorder="1" applyAlignment="1">
      <alignment horizontal="center" vertical="center"/>
    </xf>
    <xf numFmtId="177" fontId="31" fillId="0" borderId="30" xfId="0" applyNumberFormat="1" applyFont="1" applyBorder="1" applyAlignment="1">
      <alignment vertical="center"/>
    </xf>
    <xf numFmtId="0" fontId="31" fillId="0" borderId="30" xfId="0" applyFont="1" applyBorder="1" applyAlignment="1">
      <alignment horizontal="justify" vertical="center"/>
    </xf>
    <xf numFmtId="0" fontId="31" fillId="0" borderId="30" xfId="0" applyFont="1" applyBorder="1" applyAlignment="1">
      <alignment horizontal="justify" vertical="center" wrapText="1"/>
    </xf>
    <xf numFmtId="177" fontId="31" fillId="6" borderId="30" xfId="0" applyNumberFormat="1" applyFont="1" applyFill="1" applyBorder="1" applyAlignment="1">
      <alignment horizontal="center" vertical="center"/>
    </xf>
    <xf numFmtId="177" fontId="31" fillId="6" borderId="30" xfId="0" applyNumberFormat="1" applyFont="1" applyFill="1" applyBorder="1" applyAlignment="1">
      <alignment vertical="center"/>
    </xf>
    <xf numFmtId="0" fontId="31" fillId="6" borderId="30" xfId="0" applyFont="1" applyFill="1" applyBorder="1" applyAlignment="1">
      <alignment horizontal="justify" vertical="center"/>
    </xf>
    <xf numFmtId="0" fontId="31" fillId="6" borderId="30" xfId="0" applyFont="1" applyFill="1" applyBorder="1" applyAlignment="1">
      <alignment horizontal="justify" vertical="center" wrapText="1"/>
    </xf>
    <xf numFmtId="0" fontId="36" fillId="6" borderId="30" xfId="0" applyFont="1" applyFill="1" applyBorder="1" applyAlignment="1">
      <alignment horizontal="justify" vertical="center" wrapText="1"/>
    </xf>
    <xf numFmtId="0" fontId="36" fillId="0" borderId="30" xfId="0" applyFont="1" applyBorder="1" applyAlignment="1">
      <alignment horizontal="justify" vertical="center" wrapText="1"/>
    </xf>
    <xf numFmtId="0" fontId="31" fillId="6" borderId="30" xfId="0" applyFont="1" applyFill="1" applyBorder="1" applyAlignment="1">
      <alignment horizontal="center" vertical="center" wrapText="1"/>
    </xf>
    <xf numFmtId="3" fontId="31" fillId="0" borderId="30" xfId="0" applyNumberFormat="1" applyFont="1" applyBorder="1" applyAlignment="1">
      <alignment horizontal="justify" vertical="center" wrapText="1"/>
    </xf>
    <xf numFmtId="0" fontId="31" fillId="6" borderId="30" xfId="0" applyFont="1" applyFill="1" applyBorder="1" applyAlignment="1">
      <alignment vertical="center"/>
    </xf>
    <xf numFmtId="0" fontId="31" fillId="6" borderId="30" xfId="0" applyFont="1" applyFill="1" applyBorder="1" applyAlignment="1">
      <alignment vertical="center" wrapText="1"/>
    </xf>
    <xf numFmtId="9" fontId="31" fillId="6" borderId="30" xfId="0" applyNumberFormat="1" applyFont="1" applyFill="1" applyBorder="1" applyAlignment="1">
      <alignment horizontal="center" vertical="center"/>
    </xf>
    <xf numFmtId="0" fontId="98" fillId="0" borderId="30" xfId="0" applyFont="1" applyBorder="1" applyAlignment="1">
      <alignment horizontal="left" vertical="center" wrapText="1"/>
    </xf>
    <xf numFmtId="0" fontId="31" fillId="0" borderId="31" xfId="0" applyFont="1" applyBorder="1" applyAlignment="1">
      <alignment horizontal="left" vertical="center"/>
    </xf>
    <xf numFmtId="1" fontId="32" fillId="6" borderId="42" xfId="0" applyNumberFormat="1" applyFont="1" applyFill="1" applyBorder="1" applyAlignment="1">
      <alignment horizontal="center" vertical="center"/>
    </xf>
    <xf numFmtId="0" fontId="30" fillId="6" borderId="42" xfId="0" applyFont="1" applyFill="1" applyBorder="1" applyAlignment="1">
      <alignment vertical="center"/>
    </xf>
    <xf numFmtId="9" fontId="30" fillId="6" borderId="42" xfId="0" applyNumberFormat="1" applyFont="1" applyFill="1" applyBorder="1" applyAlignment="1">
      <alignment vertical="center"/>
    </xf>
    <xf numFmtId="1" fontId="32" fillId="6" borderId="30" xfId="0" applyNumberFormat="1" applyFont="1" applyFill="1" applyBorder="1" applyAlignment="1">
      <alignment horizontal="center" vertical="center"/>
    </xf>
    <xf numFmtId="9" fontId="30" fillId="6" borderId="30" xfId="0" applyNumberFormat="1" applyFont="1" applyFill="1" applyBorder="1" applyAlignment="1">
      <alignment vertical="center"/>
    </xf>
    <xf numFmtId="1" fontId="30" fillId="6" borderId="30" xfId="0" applyNumberFormat="1" applyFont="1" applyFill="1" applyBorder="1" applyAlignment="1">
      <alignment horizontal="center" vertical="center"/>
    </xf>
    <xf numFmtId="1" fontId="30" fillId="6" borderId="30" xfId="0" applyNumberFormat="1" applyFont="1" applyFill="1" applyBorder="1" applyAlignment="1">
      <alignment horizontal="center" vertical="center" wrapText="1"/>
    </xf>
    <xf numFmtId="1" fontId="39" fillId="6" borderId="30" xfId="0" applyNumberFormat="1" applyFont="1" applyFill="1" applyBorder="1" applyAlignment="1">
      <alignment horizontal="center" vertical="center" wrapText="1"/>
    </xf>
    <xf numFmtId="0" fontId="39" fillId="6" borderId="30" xfId="0" applyFont="1" applyFill="1" applyBorder="1" applyAlignment="1">
      <alignment vertical="center"/>
    </xf>
    <xf numFmtId="0" fontId="39" fillId="6" borderId="30" xfId="0" applyFont="1" applyFill="1" applyBorder="1" applyAlignment="1">
      <alignment horizontal="center" vertical="center" wrapText="1"/>
    </xf>
    <xf numFmtId="1" fontId="30" fillId="6" borderId="30" xfId="0" applyNumberFormat="1" applyFont="1" applyFill="1" applyBorder="1" applyAlignment="1">
      <alignment vertical="center"/>
    </xf>
    <xf numFmtId="3" fontId="31" fillId="6" borderId="30" xfId="0" applyNumberFormat="1" applyFont="1" applyFill="1" applyBorder="1" applyAlignment="1">
      <alignment horizontal="right" vertical="center"/>
    </xf>
    <xf numFmtId="9" fontId="31" fillId="6" borderId="30" xfId="0" applyNumberFormat="1" applyFont="1" applyFill="1" applyBorder="1" applyAlignment="1">
      <alignment vertical="center"/>
    </xf>
    <xf numFmtId="9" fontId="31" fillId="6" borderId="30" xfId="0" applyNumberFormat="1" applyFont="1" applyFill="1" applyBorder="1" applyAlignment="1">
      <alignment horizontal="right" vertical="center"/>
    </xf>
    <xf numFmtId="172" fontId="31" fillId="0" borderId="30" xfId="0" applyNumberFormat="1" applyFont="1" applyBorder="1" applyAlignment="1">
      <alignment vertical="center" wrapText="1"/>
    </xf>
    <xf numFmtId="172" fontId="31" fillId="0" borderId="30" xfId="0" applyNumberFormat="1" applyFont="1" applyBorder="1" applyAlignment="1">
      <alignment horizontal="right" vertical="center"/>
    </xf>
    <xf numFmtId="1" fontId="32" fillId="6" borderId="30" xfId="0" applyNumberFormat="1" applyFont="1" applyFill="1" applyBorder="1" applyAlignment="1">
      <alignment horizontal="center" vertical="center" wrapText="1"/>
    </xf>
    <xf numFmtId="172" fontId="31" fillId="0" borderId="30" xfId="0" applyNumberFormat="1" applyFont="1" applyBorder="1" applyAlignment="1">
      <alignment horizontal="center" vertical="center" wrapText="1"/>
    </xf>
    <xf numFmtId="1" fontId="39" fillId="6" borderId="30" xfId="0" applyNumberFormat="1" applyFont="1" applyFill="1" applyBorder="1" applyAlignment="1">
      <alignment horizontal="center" vertical="center"/>
    </xf>
    <xf numFmtId="0" fontId="39" fillId="6" borderId="30" xfId="0" applyFont="1" applyFill="1" applyBorder="1" applyAlignment="1">
      <alignment horizontal="center" vertical="center"/>
    </xf>
    <xf numFmtId="3" fontId="31" fillId="6" borderId="30" xfId="0" applyNumberFormat="1" applyFont="1" applyFill="1" applyBorder="1" applyAlignment="1">
      <alignment vertical="center"/>
    </xf>
    <xf numFmtId="0" fontId="31" fillId="6" borderId="30" xfId="0" applyFont="1" applyFill="1" applyBorder="1" applyAlignment="1">
      <alignment horizontal="right" vertical="center"/>
    </xf>
    <xf numFmtId="3" fontId="31" fillId="6" borderId="30" xfId="0" applyNumberFormat="1" applyFont="1" applyFill="1" applyBorder="1" applyAlignment="1">
      <alignment horizontal="center" vertical="center"/>
    </xf>
    <xf numFmtId="172" fontId="31" fillId="6" borderId="30" xfId="0" applyNumberFormat="1" applyFont="1" applyFill="1" applyBorder="1" applyAlignment="1">
      <alignment vertical="center"/>
    </xf>
    <xf numFmtId="9" fontId="39" fillId="6" borderId="30" xfId="0" applyNumberFormat="1" applyFont="1" applyFill="1" applyBorder="1" applyAlignment="1">
      <alignment horizontal="center" vertical="center"/>
    </xf>
    <xf numFmtId="1" fontId="31" fillId="6" borderId="30" xfId="0" applyNumberFormat="1" applyFont="1" applyFill="1" applyBorder="1" applyAlignment="1">
      <alignment vertical="center"/>
    </xf>
    <xf numFmtId="1" fontId="31" fillId="6" borderId="30" xfId="0" applyNumberFormat="1" applyFont="1" applyFill="1" applyBorder="1" applyAlignment="1">
      <alignment horizontal="center" vertical="center"/>
    </xf>
    <xf numFmtId="3" fontId="39" fillId="6" borderId="30" xfId="0" applyNumberFormat="1" applyFont="1" applyFill="1" applyBorder="1" applyAlignment="1">
      <alignment horizontal="center" vertical="center"/>
    </xf>
    <xf numFmtId="0" fontId="98" fillId="6" borderId="30" xfId="0" applyFont="1" applyFill="1" applyBorder="1" applyAlignment="1">
      <alignment horizontal="center" vertical="center"/>
    </xf>
    <xf numFmtId="0" fontId="98" fillId="6" borderId="30" xfId="0" applyFont="1" applyFill="1" applyBorder="1" applyAlignment="1">
      <alignment vertical="center" wrapText="1"/>
    </xf>
    <xf numFmtId="0" fontId="98" fillId="6" borderId="30" xfId="0" applyFont="1" applyFill="1" applyBorder="1" applyAlignment="1">
      <alignment vertical="center"/>
    </xf>
    <xf numFmtId="0" fontId="85" fillId="6" borderId="30" xfId="0" applyFont="1" applyFill="1" applyBorder="1" applyAlignment="1">
      <alignment horizontal="justify" vertical="center"/>
    </xf>
    <xf numFmtId="3" fontId="39" fillId="6" borderId="30" xfId="0" applyNumberFormat="1" applyFont="1" applyFill="1" applyBorder="1" applyAlignment="1">
      <alignment horizontal="center" vertical="center" wrapText="1"/>
    </xf>
    <xf numFmtId="3" fontId="39" fillId="6" borderId="30" xfId="0" applyNumberFormat="1" applyFont="1" applyFill="1" applyBorder="1" applyAlignment="1">
      <alignment vertical="center"/>
    </xf>
    <xf numFmtId="0" fontId="85" fillId="0" borderId="30" xfId="0" applyFont="1" applyBorder="1" applyAlignment="1">
      <alignment horizontal="justify" vertical="center"/>
    </xf>
    <xf numFmtId="0" fontId="98" fillId="0" borderId="30" xfId="0" applyFont="1" applyBorder="1" applyAlignment="1">
      <alignment vertical="center"/>
    </xf>
    <xf numFmtId="9" fontId="31" fillId="6" borderId="30" xfId="0" applyNumberFormat="1" applyFont="1" applyFill="1" applyBorder="1" applyAlignment="1">
      <alignment vertical="center" wrapText="1"/>
    </xf>
    <xf numFmtId="9" fontId="31" fillId="6" borderId="30" xfId="0" applyNumberFormat="1" applyFont="1" applyFill="1" applyBorder="1" applyAlignment="1">
      <alignment horizontal="right" vertical="center" wrapText="1"/>
    </xf>
    <xf numFmtId="3" fontId="31" fillId="0" borderId="30" xfId="0" applyNumberFormat="1" applyFont="1" applyBorder="1" applyAlignment="1">
      <alignment horizontal="center" vertical="center"/>
    </xf>
    <xf numFmtId="3" fontId="31" fillId="6" borderId="30" xfId="0" applyNumberFormat="1" applyFont="1" applyFill="1" applyBorder="1" applyAlignment="1">
      <alignment horizontal="center" vertical="center" wrapText="1"/>
    </xf>
    <xf numFmtId="9" fontId="31" fillId="6" borderId="30" xfId="0" applyNumberFormat="1" applyFont="1" applyFill="1" applyBorder="1" applyAlignment="1">
      <alignment horizontal="center" vertical="center" wrapText="1"/>
    </xf>
    <xf numFmtId="0" fontId="30" fillId="6" borderId="31" xfId="0" applyFont="1" applyFill="1" applyBorder="1" applyAlignment="1">
      <alignment vertical="center"/>
    </xf>
    <xf numFmtId="0" fontId="31" fillId="6" borderId="31" xfId="0" applyFont="1" applyFill="1" applyBorder="1" applyAlignment="1">
      <alignment horizontal="center" vertical="center"/>
    </xf>
    <xf numFmtId="0" fontId="31" fillId="6" borderId="31" xfId="0" applyFont="1" applyFill="1" applyBorder="1" applyAlignment="1">
      <alignment vertical="center"/>
    </xf>
    <xf numFmtId="0" fontId="31" fillId="6" borderId="31" xfId="0" applyFont="1" applyFill="1" applyBorder="1" applyAlignment="1">
      <alignment vertical="center" wrapText="1"/>
    </xf>
    <xf numFmtId="0" fontId="31" fillId="6" borderId="31" xfId="0" applyFont="1" applyFill="1" applyBorder="1" applyAlignment="1">
      <alignment horizontal="right" vertical="center"/>
    </xf>
    <xf numFmtId="9" fontId="31" fillId="6" borderId="31" xfId="0" applyNumberFormat="1" applyFont="1" applyFill="1" applyBorder="1" applyAlignment="1">
      <alignment horizontal="right" vertical="center"/>
    </xf>
    <xf numFmtId="172" fontId="31" fillId="0" borderId="31" xfId="0" applyNumberFormat="1" applyFont="1" applyBorder="1" applyAlignment="1">
      <alignment horizontal="right" vertical="center"/>
    </xf>
    <xf numFmtId="177" fontId="31" fillId="0" borderId="31" xfId="0" applyNumberFormat="1" applyFont="1" applyBorder="1" applyAlignment="1">
      <alignment horizontal="center" vertical="center"/>
    </xf>
    <xf numFmtId="0" fontId="33" fillId="6" borderId="42" xfId="0" applyFont="1" applyFill="1" applyBorder="1" applyAlignment="1">
      <alignment horizontal="left" vertical="center" wrapText="1"/>
    </xf>
    <xf numFmtId="9" fontId="39" fillId="6" borderId="30" xfId="0" applyNumberFormat="1" applyFont="1" applyFill="1" applyBorder="1" applyAlignment="1">
      <alignment vertical="center"/>
    </xf>
    <xf numFmtId="172" fontId="39" fillId="0" borderId="30" xfId="0" applyNumberFormat="1" applyFont="1" applyBorder="1" applyAlignment="1">
      <alignment vertical="center" wrapText="1"/>
    </xf>
    <xf numFmtId="172" fontId="39" fillId="0" borderId="30" xfId="0" applyNumberFormat="1" applyFont="1" applyBorder="1" applyAlignment="1">
      <alignment vertical="center"/>
    </xf>
    <xf numFmtId="177" fontId="39" fillId="0" borderId="30" xfId="0" applyNumberFormat="1" applyFont="1" applyBorder="1" applyAlignment="1">
      <alignment horizontal="center" vertical="center"/>
    </xf>
    <xf numFmtId="177" fontId="39" fillId="0" borderId="30" xfId="0" applyNumberFormat="1" applyFont="1" applyBorder="1" applyAlignment="1">
      <alignment vertical="center"/>
    </xf>
    <xf numFmtId="0" fontId="39" fillId="0" borderId="30" xfId="0" applyFont="1" applyBorder="1" applyAlignment="1">
      <alignment horizontal="justify" vertical="center"/>
    </xf>
    <xf numFmtId="172" fontId="39" fillId="0" borderId="30" xfId="0" applyNumberFormat="1" applyFont="1" applyBorder="1" applyAlignment="1">
      <alignment horizontal="center" vertical="center"/>
    </xf>
    <xf numFmtId="172" fontId="39" fillId="6" borderId="30" xfId="0" applyNumberFormat="1" applyFont="1" applyFill="1" applyBorder="1" applyAlignment="1">
      <alignment vertical="center"/>
    </xf>
    <xf numFmtId="177" fontId="39" fillId="6" borderId="30" xfId="0" applyNumberFormat="1" applyFont="1" applyFill="1" applyBorder="1" applyAlignment="1">
      <alignment horizontal="center" vertical="center"/>
    </xf>
    <xf numFmtId="177" fontId="39" fillId="6" borderId="30" xfId="0" applyNumberFormat="1" applyFont="1" applyFill="1" applyBorder="1" applyAlignment="1">
      <alignment vertical="center"/>
    </xf>
    <xf numFmtId="0" fontId="39" fillId="6" borderId="30" xfId="0" applyFont="1" applyFill="1" applyBorder="1" applyAlignment="1">
      <alignment horizontal="justify" vertical="center"/>
    </xf>
    <xf numFmtId="3" fontId="39" fillId="0" borderId="30" xfId="0" applyNumberFormat="1" applyFont="1" applyBorder="1" applyAlignment="1">
      <alignment horizontal="right" vertical="center" wrapText="1"/>
    </xf>
    <xf numFmtId="0" fontId="39" fillId="0" borderId="30" xfId="0" applyFont="1" applyBorder="1" applyAlignment="1">
      <alignment horizontal="justify" vertical="center" wrapText="1"/>
    </xf>
    <xf numFmtId="0" fontId="37" fillId="0" borderId="30" xfId="0" applyFont="1" applyBorder="1" applyAlignment="1">
      <alignment horizontal="justify" vertical="center"/>
    </xf>
    <xf numFmtId="3" fontId="37" fillId="6" borderId="30" xfId="0" applyNumberFormat="1" applyFont="1" applyFill="1" applyBorder="1" applyAlignment="1">
      <alignment vertical="center"/>
    </xf>
    <xf numFmtId="172" fontId="39" fillId="6" borderId="30" xfId="0" applyNumberFormat="1" applyFont="1" applyFill="1" applyBorder="1" applyAlignment="1">
      <alignment horizontal="center" vertical="center"/>
    </xf>
    <xf numFmtId="0" fontId="37" fillId="0" borderId="30" xfId="0" applyFont="1" applyBorder="1" applyAlignment="1">
      <alignment horizontal="left" vertical="center" wrapText="1"/>
    </xf>
    <xf numFmtId="0" fontId="37" fillId="0" borderId="30" xfId="0" applyFont="1" applyBorder="1" applyAlignment="1">
      <alignment horizontal="left" vertical="center"/>
    </xf>
    <xf numFmtId="0" fontId="39" fillId="6" borderId="0" xfId="0" applyFont="1" applyFill="1" applyAlignment="1">
      <alignment horizontal="center" vertical="center"/>
    </xf>
    <xf numFmtId="0" fontId="39" fillId="6" borderId="0" xfId="0" applyFont="1" applyFill="1" applyAlignment="1">
      <alignment horizontal="left" vertical="center"/>
    </xf>
    <xf numFmtId="0" fontId="39" fillId="6" borderId="0" xfId="0" applyFont="1" applyFill="1" applyAlignment="1">
      <alignment vertical="center"/>
    </xf>
    <xf numFmtId="1" fontId="39" fillId="6" borderId="0" xfId="0" applyNumberFormat="1" applyFont="1" applyFill="1" applyAlignment="1">
      <alignment horizontal="center" vertical="center"/>
    </xf>
    <xf numFmtId="0" fontId="39" fillId="6" borderId="0" xfId="0" applyFont="1" applyFill="1" applyAlignment="1">
      <alignment horizontal="left" vertical="center" wrapText="1"/>
    </xf>
    <xf numFmtId="172" fontId="37" fillId="6" borderId="0" xfId="0" applyNumberFormat="1" applyFont="1" applyFill="1" applyAlignment="1">
      <alignment horizontal="right" vertical="center"/>
    </xf>
    <xf numFmtId="10" fontId="39" fillId="6" borderId="0" xfId="0" applyNumberFormat="1" applyFont="1" applyFill="1" applyAlignment="1">
      <alignment horizontal="center" vertical="center"/>
    </xf>
    <xf numFmtId="3" fontId="39" fillId="6" borderId="0" xfId="0" applyNumberFormat="1" applyFont="1" applyFill="1" applyAlignment="1">
      <alignment vertical="center"/>
    </xf>
    <xf numFmtId="172" fontId="39" fillId="6" borderId="0" xfId="0" applyNumberFormat="1" applyFont="1" applyFill="1" applyAlignment="1">
      <alignment vertical="center"/>
    </xf>
    <xf numFmtId="0" fontId="39" fillId="6" borderId="0" xfId="0" applyFont="1" applyFill="1" applyAlignment="1">
      <alignment horizontal="center" vertical="center" wrapText="1"/>
    </xf>
    <xf numFmtId="172" fontId="39" fillId="6" borderId="0" xfId="0" applyNumberFormat="1" applyFont="1" applyFill="1" applyAlignment="1">
      <alignment horizontal="right" vertical="center"/>
    </xf>
    <xf numFmtId="10" fontId="39" fillId="6" borderId="0" xfId="0" applyNumberFormat="1" applyFont="1" applyFill="1" applyAlignment="1">
      <alignment vertical="center"/>
    </xf>
    <xf numFmtId="3" fontId="31" fillId="6" borderId="0" xfId="0" applyNumberFormat="1" applyFont="1" applyFill="1" applyAlignment="1">
      <alignment vertical="center"/>
    </xf>
    <xf numFmtId="3" fontId="70" fillId="4" borderId="42" xfId="49" applyNumberFormat="1" applyFont="1" applyFill="1" applyBorder="1" applyAlignment="1">
      <alignment vertical="center" wrapText="1"/>
    </xf>
    <xf numFmtId="172" fontId="70" fillId="4" borderId="42" xfId="69" applyNumberFormat="1" applyFont="1" applyFill="1" applyBorder="1" applyAlignment="1" applyProtection="1">
      <alignment horizontal="left" vertical="center" wrapText="1"/>
    </xf>
    <xf numFmtId="3" fontId="70" fillId="4" borderId="42" xfId="44" applyNumberFormat="1" applyFont="1" applyFill="1" applyBorder="1" applyAlignment="1" applyProtection="1">
      <alignment vertical="center"/>
      <protection locked="0"/>
    </xf>
    <xf numFmtId="9" fontId="70" fillId="4" borderId="42" xfId="69" applyFont="1" applyFill="1" applyBorder="1" applyAlignment="1" applyProtection="1">
      <alignment vertical="center"/>
      <protection locked="0"/>
    </xf>
    <xf numFmtId="0" fontId="25" fillId="4" borderId="42" xfId="44" applyFont="1" applyFill="1" applyBorder="1" applyAlignment="1" applyProtection="1">
      <alignment vertical="center"/>
      <protection locked="0"/>
    </xf>
    <xf numFmtId="3" fontId="70" fillId="4" borderId="30" xfId="49" applyNumberFormat="1" applyFont="1" applyFill="1" applyBorder="1" applyAlignment="1">
      <alignment vertical="center" wrapText="1"/>
    </xf>
    <xf numFmtId="172" fontId="70" fillId="4" borderId="30" xfId="69" applyNumberFormat="1" applyFont="1" applyFill="1" applyBorder="1" applyAlignment="1" applyProtection="1">
      <alignment horizontal="left" vertical="center" wrapText="1"/>
    </xf>
    <xf numFmtId="3" fontId="70" fillId="4" borderId="30" xfId="44" applyNumberFormat="1" applyFont="1" applyFill="1" applyBorder="1" applyAlignment="1" applyProtection="1">
      <alignment vertical="center"/>
      <protection locked="0"/>
    </xf>
    <xf numFmtId="9" fontId="70" fillId="4" borderId="30" xfId="69" applyFont="1" applyFill="1" applyBorder="1" applyAlignment="1" applyProtection="1">
      <alignment vertical="center"/>
      <protection locked="0"/>
    </xf>
    <xf numFmtId="0" fontId="25" fillId="4" borderId="30" xfId="44" applyFont="1" applyFill="1" applyBorder="1" applyAlignment="1" applyProtection="1">
      <alignment vertical="center"/>
      <protection locked="0"/>
    </xf>
    <xf numFmtId="3" fontId="2" fillId="4" borderId="30" xfId="49" applyNumberFormat="1" applyFont="1" applyFill="1" applyBorder="1" applyAlignment="1">
      <alignment vertical="center" wrapText="1"/>
    </xf>
    <xf numFmtId="172" fontId="2" fillId="4" borderId="30" xfId="69" applyNumberFormat="1" applyFont="1" applyFill="1" applyBorder="1" applyAlignment="1" applyProtection="1">
      <alignment horizontal="right" vertical="center" wrapText="1"/>
    </xf>
    <xf numFmtId="3" fontId="2" fillId="4" borderId="30" xfId="44" applyNumberFormat="1" applyFont="1" applyFill="1" applyBorder="1" applyAlignment="1" applyProtection="1">
      <alignment vertical="center"/>
      <protection locked="0"/>
    </xf>
    <xf numFmtId="9" fontId="2" fillId="4" borderId="30" xfId="69" applyFont="1" applyFill="1" applyBorder="1" applyAlignment="1" applyProtection="1">
      <alignment vertical="center"/>
      <protection locked="0"/>
    </xf>
    <xf numFmtId="3" fontId="8" fillId="4" borderId="30" xfId="49" applyNumberFormat="1" applyFont="1" applyFill="1" applyBorder="1" applyAlignment="1">
      <alignment vertical="center" wrapText="1"/>
    </xf>
    <xf numFmtId="172" fontId="8" fillId="4" borderId="30" xfId="69" applyNumberFormat="1" applyFont="1" applyFill="1" applyBorder="1" applyAlignment="1" applyProtection="1">
      <alignment horizontal="right" vertical="center" wrapText="1"/>
    </xf>
    <xf numFmtId="3" fontId="8" fillId="4" borderId="30" xfId="44" applyNumberFormat="1" applyFont="1" applyFill="1" applyBorder="1" applyAlignment="1" applyProtection="1">
      <alignment vertical="center"/>
      <protection locked="0"/>
    </xf>
    <xf numFmtId="9" fontId="8" fillId="4" borderId="30" xfId="69" applyFont="1" applyFill="1" applyBorder="1" applyAlignment="1" applyProtection="1">
      <alignment vertical="center"/>
      <protection locked="0"/>
    </xf>
    <xf numFmtId="3" fontId="31" fillId="4" borderId="30" xfId="49" applyNumberFormat="1" applyFont="1" applyFill="1" applyBorder="1" applyAlignment="1">
      <alignment vertical="center" wrapText="1"/>
    </xf>
    <xf numFmtId="172" fontId="31" fillId="4" borderId="30" xfId="69" applyNumberFormat="1" applyFont="1" applyFill="1" applyBorder="1" applyAlignment="1" applyProtection="1">
      <alignment horizontal="right" vertical="center" wrapText="1"/>
    </xf>
    <xf numFmtId="3" fontId="31" fillId="4" borderId="30" xfId="49" applyNumberFormat="1" applyFont="1" applyFill="1" applyBorder="1" applyAlignment="1" applyProtection="1">
      <alignment horizontal="right" vertical="center" wrapText="1"/>
      <protection locked="0"/>
    </xf>
    <xf numFmtId="172" fontId="31" fillId="4" borderId="30" xfId="69" applyNumberFormat="1" applyFont="1" applyFill="1" applyBorder="1" applyAlignment="1" applyProtection="1">
      <alignment vertical="center"/>
      <protection locked="0"/>
    </xf>
    <xf numFmtId="0" fontId="31" fillId="4" borderId="30" xfId="44" applyFont="1" applyFill="1" applyBorder="1" applyAlignment="1" applyProtection="1">
      <alignment vertical="center"/>
      <protection locked="0"/>
    </xf>
    <xf numFmtId="3" fontId="31" fillId="4" borderId="30" xfId="49" applyNumberFormat="1" applyFont="1" applyFill="1" applyBorder="1" applyAlignment="1">
      <alignment horizontal="right" vertical="center" wrapText="1"/>
    </xf>
    <xf numFmtId="3" fontId="31" fillId="4" borderId="30" xfId="44" applyNumberFormat="1" applyFont="1" applyFill="1" applyBorder="1" applyAlignment="1" applyProtection="1">
      <alignment vertical="center"/>
      <protection locked="0"/>
    </xf>
    <xf numFmtId="0" fontId="25" fillId="4" borderId="30" xfId="44" applyFont="1" applyFill="1" applyBorder="1" applyAlignment="1" applyProtection="1">
      <alignment vertical="center" wrapText="1"/>
      <protection locked="0"/>
    </xf>
    <xf numFmtId="172" fontId="70" fillId="4" borderId="30" xfId="69" applyNumberFormat="1" applyFont="1" applyFill="1" applyBorder="1" applyAlignment="1" applyProtection="1">
      <alignment vertical="center"/>
      <protection locked="0"/>
    </xf>
    <xf numFmtId="172" fontId="2" fillId="4" borderId="30" xfId="69" applyNumberFormat="1" applyFont="1" applyFill="1" applyBorder="1" applyAlignment="1" applyProtection="1">
      <alignment horizontal="left" vertical="center" wrapText="1"/>
    </xf>
    <xf numFmtId="172" fontId="2" fillId="4" borderId="30" xfId="69" applyNumberFormat="1" applyFont="1" applyFill="1" applyBorder="1" applyAlignment="1" applyProtection="1">
      <alignment vertical="center"/>
      <protection locked="0"/>
    </xf>
    <xf numFmtId="172" fontId="8" fillId="4" borderId="30" xfId="69" applyNumberFormat="1" applyFont="1" applyFill="1" applyBorder="1" applyAlignment="1" applyProtection="1">
      <alignment horizontal="left" vertical="center" wrapText="1"/>
    </xf>
    <xf numFmtId="172" fontId="8" fillId="4" borderId="30" xfId="69" applyNumberFormat="1" applyFont="1" applyFill="1" applyBorder="1" applyAlignment="1" applyProtection="1">
      <alignment vertical="center"/>
      <protection locked="0"/>
    </xf>
    <xf numFmtId="0" fontId="25" fillId="4" borderId="30" xfId="44" applyFont="1" applyFill="1" applyBorder="1" applyAlignment="1">
      <alignment vertical="center"/>
    </xf>
    <xf numFmtId="172" fontId="25" fillId="4" borderId="30" xfId="69" applyNumberFormat="1" applyFont="1" applyFill="1" applyBorder="1" applyAlignment="1" applyProtection="1">
      <alignment vertical="center"/>
    </xf>
    <xf numFmtId="3" fontId="25" fillId="4" borderId="30" xfId="86" applyNumberFormat="1" applyFont="1" applyFill="1" applyBorder="1" applyAlignment="1" applyProtection="1">
      <alignment vertical="center"/>
      <protection locked="0"/>
    </xf>
    <xf numFmtId="172" fontId="25" fillId="4" borderId="30" xfId="69" applyNumberFormat="1" applyFont="1" applyFill="1" applyBorder="1" applyAlignment="1" applyProtection="1">
      <alignment vertical="center"/>
      <protection locked="0"/>
    </xf>
    <xf numFmtId="9" fontId="25" fillId="4" borderId="30" xfId="69" applyFont="1" applyFill="1" applyBorder="1" applyAlignment="1" applyProtection="1">
      <alignment horizontal="right" vertical="center" wrapText="1"/>
    </xf>
    <xf numFmtId="3" fontId="25" fillId="4" borderId="30" xfId="44" applyNumberFormat="1" applyFont="1" applyFill="1" applyBorder="1" applyAlignment="1" applyProtection="1">
      <alignment vertical="center"/>
      <protection locked="0"/>
    </xf>
    <xf numFmtId="172" fontId="25" fillId="4" borderId="30" xfId="69" applyNumberFormat="1" applyFont="1" applyFill="1" applyBorder="1" applyAlignment="1" applyProtection="1">
      <alignment horizontal="right" vertical="center" wrapText="1"/>
    </xf>
    <xf numFmtId="0" fontId="2" fillId="4" borderId="30" xfId="44" applyFont="1" applyFill="1" applyBorder="1" applyAlignment="1">
      <alignment vertical="center"/>
    </xf>
    <xf numFmtId="172" fontId="2" fillId="4" borderId="30" xfId="69" applyNumberFormat="1" applyFont="1" applyFill="1" applyBorder="1" applyAlignment="1" applyProtection="1">
      <alignment vertical="center"/>
    </xf>
    <xf numFmtId="0" fontId="8" fillId="4" borderId="30" xfId="44" applyFont="1" applyFill="1" applyBorder="1" applyAlignment="1">
      <alignment vertical="center"/>
    </xf>
    <xf numFmtId="172" fontId="8" fillId="4" borderId="30" xfId="69" applyNumberFormat="1" applyFont="1" applyFill="1" applyBorder="1" applyAlignment="1" applyProtection="1">
      <alignment vertical="center"/>
    </xf>
    <xf numFmtId="3" fontId="25" fillId="4" borderId="30" xfId="86" applyNumberFormat="1" applyFont="1" applyFill="1" applyBorder="1" applyAlignment="1" applyProtection="1">
      <alignment horizontal="right" vertical="center" wrapText="1"/>
      <protection locked="0"/>
    </xf>
    <xf numFmtId="0" fontId="25" fillId="4" borderId="30" xfId="44" applyFont="1" applyFill="1" applyBorder="1" applyAlignment="1">
      <alignment horizontal="center" vertical="center"/>
    </xf>
    <xf numFmtId="0" fontId="70" fillId="4" borderId="30" xfId="44" applyFont="1" applyFill="1" applyBorder="1" applyAlignment="1">
      <alignment vertical="center"/>
    </xf>
    <xf numFmtId="172" fontId="70" fillId="4" borderId="30" xfId="69" applyNumberFormat="1" applyFont="1" applyFill="1" applyBorder="1" applyAlignment="1" applyProtection="1">
      <alignment vertical="center"/>
    </xf>
    <xf numFmtId="172" fontId="25" fillId="4" borderId="30" xfId="69" applyNumberFormat="1" applyFont="1" applyFill="1" applyBorder="1" applyAlignment="1" applyProtection="1">
      <alignment horizontal="right" vertical="center"/>
    </xf>
    <xf numFmtId="172" fontId="25" fillId="4" borderId="30" xfId="69" applyNumberFormat="1" applyFont="1" applyFill="1" applyBorder="1" applyAlignment="1" applyProtection="1">
      <alignment horizontal="center" vertical="center"/>
    </xf>
    <xf numFmtId="3" fontId="25" fillId="4" borderId="30" xfId="43" applyNumberFormat="1" applyFont="1" applyFill="1" applyBorder="1" applyAlignment="1">
      <alignment horizontal="right" vertical="center"/>
    </xf>
    <xf numFmtId="3" fontId="25" fillId="4" borderId="30" xfId="43" applyNumberFormat="1" applyFont="1" applyFill="1" applyBorder="1" applyAlignment="1" applyProtection="1">
      <alignment horizontal="right" vertical="center"/>
      <protection locked="0"/>
    </xf>
    <xf numFmtId="3" fontId="25" fillId="4" borderId="30" xfId="86" applyNumberFormat="1" applyFont="1" applyFill="1" applyBorder="1" applyAlignment="1" applyProtection="1">
      <alignment horizontal="right" vertical="center"/>
      <protection locked="0"/>
    </xf>
    <xf numFmtId="3" fontId="25" fillId="4" borderId="30" xfId="43" applyNumberFormat="1" applyFont="1" applyFill="1" applyBorder="1" applyAlignment="1">
      <alignment horizontal="center" vertical="center"/>
    </xf>
    <xf numFmtId="0" fontId="2" fillId="4" borderId="30" xfId="43" applyFont="1" applyFill="1" applyBorder="1" applyAlignment="1">
      <alignment horizontal="right" vertical="center"/>
    </xf>
    <xf numFmtId="172" fontId="2" fillId="4" borderId="30" xfId="69" applyNumberFormat="1" applyFont="1" applyFill="1" applyBorder="1" applyAlignment="1" applyProtection="1">
      <alignment horizontal="right" vertical="center"/>
    </xf>
    <xf numFmtId="0" fontId="8" fillId="4" borderId="30" xfId="43" applyFont="1" applyFill="1" applyBorder="1" applyAlignment="1">
      <alignment horizontal="right" vertical="center"/>
    </xf>
    <xf numFmtId="172" fontId="8" fillId="4" borderId="30" xfId="69" applyNumberFormat="1" applyFont="1" applyFill="1" applyBorder="1" applyAlignment="1" applyProtection="1">
      <alignment horizontal="right" vertical="center"/>
    </xf>
    <xf numFmtId="0" fontId="25" fillId="4" borderId="30" xfId="69" applyNumberFormat="1" applyFont="1" applyFill="1" applyBorder="1" applyAlignment="1" applyProtection="1">
      <alignment horizontal="right" vertical="center" wrapText="1"/>
    </xf>
    <xf numFmtId="1" fontId="25" fillId="4" borderId="30" xfId="64" applyNumberFormat="1" applyFont="1" applyFill="1" applyBorder="1" applyAlignment="1" applyProtection="1">
      <alignment horizontal="right" vertical="center" wrapText="1"/>
    </xf>
    <xf numFmtId="3" fontId="25" fillId="4" borderId="30" xfId="86" applyNumberFormat="1" applyFont="1" applyFill="1" applyBorder="1" applyAlignment="1" applyProtection="1">
      <alignment vertical="center"/>
    </xf>
    <xf numFmtId="0" fontId="25" fillId="4" borderId="30" xfId="43" applyFont="1" applyFill="1" applyBorder="1" applyAlignment="1">
      <alignment horizontal="right" vertical="center"/>
    </xf>
    <xf numFmtId="172" fontId="99" fillId="4" borderId="30" xfId="69" applyNumberFormat="1" applyFont="1" applyFill="1" applyBorder="1" applyAlignment="1" applyProtection="1">
      <alignment vertical="center"/>
      <protection locked="0"/>
    </xf>
    <xf numFmtId="10" fontId="25" fillId="4" borderId="30" xfId="79" applyNumberFormat="1" applyFont="1" applyFill="1" applyBorder="1" applyAlignment="1" applyProtection="1">
      <alignment vertical="center"/>
      <protection locked="0"/>
    </xf>
    <xf numFmtId="187" fontId="25" fillId="4" borderId="30" xfId="86" applyNumberFormat="1" applyFont="1" applyFill="1" applyBorder="1" applyAlignment="1" applyProtection="1">
      <alignment horizontal="right" vertical="center"/>
      <protection locked="0"/>
    </xf>
    <xf numFmtId="187" fontId="25" fillId="4" borderId="30" xfId="86" applyNumberFormat="1" applyFont="1" applyFill="1" applyBorder="1" applyAlignment="1" applyProtection="1">
      <alignment vertical="center"/>
      <protection locked="0"/>
    </xf>
    <xf numFmtId="0" fontId="25" fillId="4" borderId="0" xfId="43" applyFont="1" applyFill="1" applyAlignment="1" applyProtection="1">
      <alignment vertical="center"/>
      <protection locked="0"/>
    </xf>
    <xf numFmtId="0" fontId="25" fillId="4" borderId="30" xfId="43" applyFont="1" applyFill="1" applyBorder="1" applyAlignment="1">
      <alignment vertical="center"/>
    </xf>
    <xf numFmtId="3" fontId="25" fillId="4" borderId="30" xfId="43" applyNumberFormat="1" applyFont="1" applyFill="1" applyBorder="1" applyAlignment="1" applyProtection="1">
      <alignment vertical="center"/>
      <protection locked="0"/>
    </xf>
    <xf numFmtId="9" fontId="25" fillId="4" borderId="30" xfId="69" applyFont="1" applyFill="1" applyBorder="1" applyAlignment="1" applyProtection="1">
      <alignment horizontal="right" vertical="center"/>
    </xf>
    <xf numFmtId="3" fontId="25" fillId="4" borderId="30" xfId="43" applyNumberFormat="1" applyFont="1" applyFill="1" applyBorder="1" applyAlignment="1">
      <alignment vertical="center"/>
    </xf>
    <xf numFmtId="172" fontId="25" fillId="4" borderId="30" xfId="69" applyNumberFormat="1" applyFont="1" applyFill="1" applyBorder="1" applyAlignment="1" applyProtection="1">
      <alignment vertical="center" wrapText="1"/>
    </xf>
    <xf numFmtId="3" fontId="25" fillId="4" borderId="30" xfId="86" applyNumberFormat="1" applyFont="1" applyFill="1" applyBorder="1" applyAlignment="1" applyProtection="1">
      <alignment horizontal="center" vertical="center"/>
    </xf>
    <xf numFmtId="49" fontId="25" fillId="4" borderId="30" xfId="44" quotePrefix="1" applyNumberFormat="1" applyFont="1" applyFill="1" applyBorder="1" applyAlignment="1">
      <alignment horizontal="center" vertical="center"/>
    </xf>
    <xf numFmtId="3" fontId="25" fillId="4" borderId="30" xfId="86" applyNumberFormat="1" applyFont="1" applyFill="1" applyBorder="1" applyAlignment="1" applyProtection="1">
      <alignment horizontal="right" vertical="center"/>
    </xf>
    <xf numFmtId="3" fontId="25" fillId="4" borderId="30" xfId="44" applyNumberFormat="1" applyFont="1" applyFill="1" applyBorder="1" applyAlignment="1">
      <alignment horizontal="center" vertical="center"/>
    </xf>
    <xf numFmtId="3" fontId="25" fillId="4" borderId="30" xfId="3" applyNumberFormat="1" applyFont="1" applyFill="1" applyBorder="1" applyAlignment="1">
      <alignment vertical="center" wrapText="1"/>
    </xf>
    <xf numFmtId="9" fontId="25" fillId="4" borderId="30" xfId="69" applyFont="1" applyFill="1" applyBorder="1" applyAlignment="1" applyProtection="1">
      <alignment vertical="center"/>
    </xf>
    <xf numFmtId="189" fontId="100" fillId="0" borderId="30" xfId="69" applyNumberFormat="1" applyFont="1" applyBorder="1" applyAlignment="1" applyProtection="1">
      <alignment horizontal="center" vertical="center"/>
      <protection locked="0"/>
    </xf>
    <xf numFmtId="1" fontId="25" fillId="4" borderId="30" xfId="64" applyNumberFormat="1" applyFont="1" applyFill="1" applyBorder="1" applyAlignment="1" applyProtection="1">
      <alignment vertical="center" wrapText="1"/>
    </xf>
    <xf numFmtId="180" fontId="25" fillId="4" borderId="30" xfId="44" applyNumberFormat="1" applyFont="1" applyFill="1" applyBorder="1" applyAlignment="1">
      <alignment vertical="center"/>
    </xf>
    <xf numFmtId="3" fontId="31" fillId="4" borderId="30" xfId="44" applyNumberFormat="1" applyFont="1" applyFill="1" applyBorder="1" applyAlignment="1">
      <alignment horizontal="right" vertical="center"/>
    </xf>
    <xf numFmtId="0" fontId="25" fillId="4" borderId="30" xfId="43" applyFont="1" applyFill="1" applyBorder="1" applyAlignment="1">
      <alignment horizontal="center" vertical="center"/>
    </xf>
    <xf numFmtId="3" fontId="25" fillId="4" borderId="30" xfId="44" applyNumberFormat="1" applyFont="1" applyFill="1" applyBorder="1" applyAlignment="1">
      <alignment vertical="center"/>
    </xf>
    <xf numFmtId="3" fontId="2" fillId="4" borderId="30" xfId="44" applyNumberFormat="1" applyFont="1" applyFill="1" applyBorder="1" applyAlignment="1">
      <alignment vertical="center"/>
    </xf>
    <xf numFmtId="9" fontId="2" fillId="4" borderId="30" xfId="69" applyFont="1" applyFill="1" applyBorder="1" applyAlignment="1" applyProtection="1">
      <alignment vertical="center"/>
    </xf>
    <xf numFmtId="3" fontId="2" fillId="4" borderId="30" xfId="86" applyNumberFormat="1" applyFont="1" applyFill="1" applyBorder="1" applyAlignment="1" applyProtection="1">
      <alignment vertical="center"/>
      <protection locked="0"/>
    </xf>
    <xf numFmtId="0" fontId="2" fillId="4" borderId="30" xfId="44" applyFont="1" applyFill="1" applyBorder="1" applyAlignment="1" applyProtection="1">
      <alignment vertical="center" wrapText="1"/>
      <protection locked="0"/>
    </xf>
    <xf numFmtId="0" fontId="8" fillId="4" borderId="30" xfId="44" applyFont="1" applyFill="1" applyBorder="1" applyAlignment="1" applyProtection="1">
      <alignment vertical="center" wrapText="1"/>
      <protection locked="0"/>
    </xf>
    <xf numFmtId="3" fontId="8" fillId="4" borderId="30" xfId="43" applyNumberFormat="1" applyFont="1" applyFill="1" applyBorder="1" applyAlignment="1">
      <alignment horizontal="right" vertical="center"/>
    </xf>
    <xf numFmtId="3" fontId="8" fillId="4" borderId="30" xfId="86" applyNumberFormat="1" applyFont="1" applyFill="1" applyBorder="1" applyAlignment="1" applyProtection="1">
      <alignment horizontal="right" vertical="center" wrapText="1"/>
      <protection locked="0"/>
    </xf>
    <xf numFmtId="0" fontId="25" fillId="4" borderId="30" xfId="44" applyFont="1" applyFill="1" applyBorder="1" applyAlignment="1" applyProtection="1">
      <alignment horizontal="left" vertical="center" wrapText="1"/>
      <protection locked="0"/>
    </xf>
    <xf numFmtId="3" fontId="8" fillId="4" borderId="30" xfId="86" applyNumberFormat="1" applyFont="1" applyFill="1" applyBorder="1" applyAlignment="1" applyProtection="1">
      <alignment vertical="center"/>
      <protection locked="0"/>
    </xf>
    <xf numFmtId="3" fontId="8" fillId="4" borderId="30" xfId="43" applyNumberFormat="1" applyFont="1" applyFill="1" applyBorder="1" applyAlignment="1" applyProtection="1">
      <alignment horizontal="right" vertical="center"/>
      <protection locked="0"/>
    </xf>
    <xf numFmtId="172" fontId="25" fillId="4" borderId="30" xfId="79" applyNumberFormat="1" applyFont="1" applyFill="1" applyBorder="1" applyAlignment="1" applyProtection="1">
      <alignment horizontal="right" vertical="center" wrapText="1"/>
    </xf>
    <xf numFmtId="172" fontId="2" fillId="4" borderId="30" xfId="43" applyNumberFormat="1" applyFont="1" applyFill="1" applyBorder="1" applyAlignment="1">
      <alignment horizontal="right" vertical="center"/>
    </xf>
    <xf numFmtId="3" fontId="2" fillId="4" borderId="30" xfId="86" applyNumberFormat="1" applyFont="1" applyFill="1" applyBorder="1" applyAlignment="1" applyProtection="1">
      <alignment horizontal="right" vertical="center" wrapText="1"/>
      <protection locked="0"/>
    </xf>
    <xf numFmtId="3" fontId="8" fillId="4" borderId="30" xfId="64" applyNumberFormat="1" applyFont="1" applyFill="1" applyBorder="1" applyAlignment="1" applyProtection="1">
      <alignment vertical="center" wrapText="1"/>
    </xf>
    <xf numFmtId="3" fontId="25" fillId="4" borderId="30" xfId="64" applyNumberFormat="1" applyFont="1" applyFill="1" applyBorder="1" applyAlignment="1" applyProtection="1">
      <alignment vertical="center" wrapText="1"/>
    </xf>
    <xf numFmtId="3" fontId="8" fillId="4" borderId="30" xfId="86" applyNumberFormat="1" applyFont="1" applyFill="1" applyBorder="1" applyAlignment="1" applyProtection="1">
      <alignment vertical="center"/>
    </xf>
    <xf numFmtId="3" fontId="25" fillId="4" borderId="30" xfId="43" applyNumberFormat="1" applyFont="1" applyFill="1" applyBorder="1" applyAlignment="1" applyProtection="1">
      <alignment horizontal="center" vertical="center"/>
      <protection locked="0"/>
    </xf>
    <xf numFmtId="9" fontId="25" fillId="4" borderId="30" xfId="69" applyFont="1" applyFill="1" applyBorder="1" applyAlignment="1" applyProtection="1">
      <alignment vertical="center"/>
      <protection locked="0"/>
    </xf>
    <xf numFmtId="0" fontId="70" fillId="4" borderId="30" xfId="44" applyFont="1" applyFill="1" applyBorder="1" applyAlignment="1" applyProtection="1">
      <alignment vertical="center" wrapText="1"/>
      <protection locked="0"/>
    </xf>
    <xf numFmtId="3" fontId="70" fillId="4" borderId="30" xfId="43" applyNumberFormat="1" applyFont="1" applyFill="1" applyBorder="1" applyAlignment="1" applyProtection="1">
      <alignment vertical="center"/>
      <protection locked="0"/>
    </xf>
    <xf numFmtId="190" fontId="25" fillId="4" borderId="30" xfId="43" applyNumberFormat="1" applyFont="1" applyFill="1" applyBorder="1" applyAlignment="1">
      <alignment horizontal="right" vertical="center"/>
    </xf>
    <xf numFmtId="0" fontId="25" fillId="4" borderId="0" xfId="44" applyFont="1" applyFill="1" applyAlignment="1">
      <alignment vertical="center"/>
    </xf>
    <xf numFmtId="0" fontId="25" fillId="4" borderId="0" xfId="44" applyFont="1" applyFill="1" applyAlignment="1">
      <alignment horizontal="left" vertical="center"/>
    </xf>
    <xf numFmtId="0" fontId="25" fillId="4" borderId="0" xfId="44" applyFont="1" applyFill="1" applyAlignment="1">
      <alignment horizontal="center" vertical="center"/>
    </xf>
    <xf numFmtId="0" fontId="25" fillId="4" borderId="0" xfId="44" applyFont="1" applyFill="1" applyAlignment="1">
      <alignment horizontal="right" vertical="center"/>
    </xf>
    <xf numFmtId="1" fontId="25" fillId="4" borderId="0" xfId="44" applyNumberFormat="1" applyFont="1" applyFill="1" applyAlignment="1">
      <alignment horizontal="center" vertical="center"/>
    </xf>
    <xf numFmtId="0" fontId="69" fillId="4" borderId="0" xfId="0" applyFont="1" applyFill="1" applyAlignment="1">
      <alignment horizontal="center" vertical="center"/>
    </xf>
    <xf numFmtId="0" fontId="102" fillId="4" borderId="0" xfId="0" applyFont="1" applyFill="1" applyAlignment="1">
      <alignment horizontal="center" vertical="center"/>
    </xf>
    <xf numFmtId="0" fontId="25" fillId="4" borderId="0" xfId="43" applyFont="1" applyFill="1" applyAlignment="1">
      <alignment vertical="center"/>
    </xf>
    <xf numFmtId="172" fontId="25" fillId="4" borderId="0" xfId="43" applyNumberFormat="1" applyFont="1" applyFill="1" applyAlignment="1">
      <alignment horizontal="center" vertical="center"/>
    </xf>
    <xf numFmtId="3" fontId="25" fillId="4" borderId="0" xfId="44" applyNumberFormat="1" applyFont="1" applyFill="1" applyAlignment="1">
      <alignment vertical="center"/>
    </xf>
    <xf numFmtId="0" fontId="25" fillId="4" borderId="0" xfId="43" applyFont="1" applyFill="1" applyAlignment="1">
      <alignment horizontal="center" vertical="center"/>
    </xf>
    <xf numFmtId="0" fontId="25" fillId="4" borderId="0" xfId="43" applyFont="1" applyFill="1" applyAlignment="1">
      <alignment horizontal="left" vertical="center"/>
    </xf>
    <xf numFmtId="0" fontId="103" fillId="4" borderId="0" xfId="43" applyFont="1" applyFill="1" applyAlignment="1">
      <alignment horizontal="left" vertical="center"/>
    </xf>
    <xf numFmtId="172" fontId="25" fillId="4" borderId="0" xfId="44" applyNumberFormat="1" applyFont="1" applyFill="1" applyAlignment="1">
      <alignment horizontal="right" vertical="center"/>
    </xf>
    <xf numFmtId="1" fontId="36" fillId="4" borderId="0" xfId="0" applyNumberFormat="1" applyFont="1" applyFill="1" applyAlignment="1">
      <alignment horizontal="center" vertical="center"/>
    </xf>
    <xf numFmtId="3" fontId="25" fillId="4" borderId="0" xfId="35" applyNumberFormat="1" applyFont="1" applyFill="1" applyAlignment="1">
      <alignment vertical="center"/>
    </xf>
    <xf numFmtId="3" fontId="25" fillId="4" borderId="0" xfId="35" applyNumberFormat="1" applyFont="1" applyFill="1" applyAlignment="1" applyProtection="1">
      <alignment vertical="center"/>
      <protection locked="0"/>
    </xf>
    <xf numFmtId="172" fontId="25" fillId="4" borderId="0" xfId="69" applyNumberFormat="1" applyFont="1" applyFill="1" applyBorder="1" applyAlignment="1" applyProtection="1">
      <alignment vertical="center"/>
      <protection locked="0"/>
    </xf>
    <xf numFmtId="0" fontId="25" fillId="4" borderId="0" xfId="43" applyFont="1" applyFill="1" applyAlignment="1" applyProtection="1">
      <alignment horizontal="center" vertical="center"/>
      <protection locked="0"/>
    </xf>
    <xf numFmtId="0" fontId="25" fillId="4" borderId="0" xfId="43" applyFont="1" applyFill="1" applyAlignment="1" applyProtection="1">
      <alignment vertical="center" wrapText="1"/>
      <protection locked="0"/>
    </xf>
    <xf numFmtId="0" fontId="32" fillId="4" borderId="42" xfId="0" applyFont="1" applyFill="1" applyBorder="1" applyAlignment="1">
      <alignment horizontal="center" vertical="center" wrapText="1"/>
    </xf>
    <xf numFmtId="0" fontId="33" fillId="4" borderId="42" xfId="0" applyFont="1" applyFill="1" applyBorder="1" applyAlignment="1">
      <alignment vertical="center" wrapText="1"/>
    </xf>
    <xf numFmtId="0" fontId="31" fillId="4" borderId="42" xfId="0" applyFont="1" applyFill="1" applyBorder="1" applyAlignment="1">
      <alignment horizontal="center" vertical="center" wrapText="1"/>
    </xf>
    <xf numFmtId="0" fontId="32" fillId="4" borderId="42" xfId="0" applyFont="1" applyFill="1" applyBorder="1" applyAlignment="1">
      <alignment horizontal="right" vertical="center" wrapText="1"/>
    </xf>
    <xf numFmtId="0" fontId="30" fillId="4" borderId="30" xfId="0" applyFont="1" applyFill="1" applyBorder="1" applyAlignment="1">
      <alignment horizontal="center" vertical="center" wrapText="1"/>
    </xf>
    <xf numFmtId="0" fontId="32" fillId="4" borderId="30" xfId="0" applyFont="1" applyFill="1" applyBorder="1" applyAlignment="1">
      <alignment horizontal="center" vertical="center" wrapText="1"/>
    </xf>
    <xf numFmtId="0" fontId="32" fillId="4" borderId="30" xfId="0" applyFont="1" applyFill="1" applyBorder="1" applyAlignment="1">
      <alignment vertical="center" wrapText="1"/>
    </xf>
    <xf numFmtId="0" fontId="31" fillId="4" borderId="30" xfId="0" applyFont="1" applyFill="1" applyBorder="1" applyAlignment="1">
      <alignment horizontal="center" vertical="center" wrapText="1"/>
    </xf>
    <xf numFmtId="0" fontId="30" fillId="4" borderId="30" xfId="0" applyFont="1" applyFill="1" applyBorder="1" applyAlignment="1">
      <alignment horizontal="right" vertical="center" wrapText="1"/>
    </xf>
    <xf numFmtId="0" fontId="30" fillId="4" borderId="30" xfId="0" applyFont="1" applyFill="1" applyBorder="1" applyAlignment="1">
      <alignment vertical="center" wrapText="1"/>
    </xf>
    <xf numFmtId="0" fontId="39" fillId="4" borderId="30" xfId="0" applyFont="1" applyFill="1" applyBorder="1" applyAlignment="1">
      <alignment horizontal="center" vertical="center" wrapText="1"/>
    </xf>
    <xf numFmtId="0" fontId="39" fillId="4" borderId="30" xfId="0" applyFont="1" applyFill="1" applyBorder="1" applyAlignment="1">
      <alignment vertical="center" wrapText="1"/>
    </xf>
    <xf numFmtId="9" fontId="39" fillId="4" borderId="30" xfId="0" applyNumberFormat="1" applyFont="1" applyFill="1" applyBorder="1" applyAlignment="1">
      <alignment horizontal="center" vertical="center" wrapText="1"/>
    </xf>
    <xf numFmtId="0" fontId="31" fillId="4" borderId="30" xfId="0" applyFont="1" applyFill="1" applyBorder="1" applyAlignment="1">
      <alignment vertical="center" wrapText="1"/>
    </xf>
    <xf numFmtId="0" fontId="31" fillId="4" borderId="30" xfId="0" applyFont="1" applyFill="1" applyBorder="1" applyAlignment="1">
      <alignment horizontal="left" vertical="center" wrapText="1"/>
    </xf>
    <xf numFmtId="9" fontId="31" fillId="4" borderId="30" xfId="0" applyNumberFormat="1" applyFont="1" applyFill="1" applyBorder="1" applyAlignment="1">
      <alignment horizontal="center" vertical="center" wrapText="1"/>
    </xf>
    <xf numFmtId="3" fontId="31" fillId="4" borderId="30" xfId="0" applyNumberFormat="1" applyFont="1" applyFill="1" applyBorder="1" applyAlignment="1">
      <alignment horizontal="right" vertical="center" wrapText="1"/>
    </xf>
    <xf numFmtId="9" fontId="31" fillId="4" borderId="30" xfId="0" applyNumberFormat="1" applyFont="1" applyFill="1" applyBorder="1" applyAlignment="1">
      <alignment horizontal="right" vertical="center" wrapText="1"/>
    </xf>
    <xf numFmtId="184" fontId="31" fillId="4" borderId="30" xfId="0" applyNumberFormat="1" applyFont="1" applyFill="1" applyBorder="1" applyAlignment="1">
      <alignment horizontal="center" vertical="center" wrapText="1"/>
    </xf>
    <xf numFmtId="0" fontId="32" fillId="4" borderId="30" xfId="0" applyFont="1" applyFill="1" applyBorder="1" applyAlignment="1">
      <alignment horizontal="center" vertical="center"/>
    </xf>
    <xf numFmtId="0" fontId="33" fillId="4" borderId="30" xfId="0" applyFont="1" applyFill="1" applyBorder="1" applyAlignment="1">
      <alignment vertical="center" wrapText="1"/>
    </xf>
    <xf numFmtId="0" fontId="39" fillId="4" borderId="30" xfId="0" applyFont="1" applyFill="1" applyBorder="1" applyAlignment="1">
      <alignment horizontal="center" vertical="center"/>
    </xf>
    <xf numFmtId="0" fontId="31" fillId="4" borderId="30" xfId="0" applyFont="1" applyFill="1" applyBorder="1" applyAlignment="1">
      <alignment vertical="center"/>
    </xf>
    <xf numFmtId="3" fontId="31" fillId="4" borderId="30" xfId="0" applyNumberFormat="1" applyFont="1" applyFill="1" applyBorder="1" applyAlignment="1">
      <alignment vertical="center" wrapText="1"/>
    </xf>
    <xf numFmtId="0" fontId="31" fillId="4" borderId="30" xfId="0" applyFont="1" applyFill="1" applyBorder="1" applyAlignment="1">
      <alignment horizontal="center" vertical="center"/>
    </xf>
    <xf numFmtId="1" fontId="30" fillId="4" borderId="30" xfId="0" applyNumberFormat="1" applyFont="1" applyFill="1" applyBorder="1" applyAlignment="1">
      <alignment horizontal="center" vertical="center" wrapText="1"/>
    </xf>
    <xf numFmtId="49" fontId="31" fillId="4" borderId="30" xfId="0" applyNumberFormat="1" applyFont="1" applyFill="1" applyBorder="1" applyAlignment="1">
      <alignment horizontal="left" vertical="center"/>
    </xf>
    <xf numFmtId="0" fontId="31" fillId="4" borderId="30" xfId="0" applyFont="1" applyFill="1" applyBorder="1" applyAlignment="1">
      <alignment horizontal="right" vertical="center" wrapText="1"/>
    </xf>
    <xf numFmtId="172" fontId="31" fillId="4" borderId="30" xfId="0" applyNumberFormat="1" applyFont="1" applyFill="1" applyBorder="1" applyAlignment="1">
      <alignment vertical="center"/>
    </xf>
    <xf numFmtId="0" fontId="39" fillId="4" borderId="30" xfId="0" applyFont="1" applyFill="1" applyBorder="1" applyAlignment="1">
      <alignment vertical="center"/>
    </xf>
    <xf numFmtId="3" fontId="39" fillId="4" borderId="30" xfId="0" applyNumberFormat="1" applyFont="1" applyFill="1" applyBorder="1" applyAlignment="1">
      <alignment vertical="center" wrapText="1"/>
    </xf>
    <xf numFmtId="0" fontId="39" fillId="4" borderId="30" xfId="0" applyFont="1" applyFill="1" applyBorder="1" applyAlignment="1">
      <alignment horizontal="left" vertical="center" wrapText="1"/>
    </xf>
    <xf numFmtId="1" fontId="39" fillId="4" borderId="30" xfId="0" applyNumberFormat="1" applyFont="1" applyFill="1" applyBorder="1" applyAlignment="1">
      <alignment horizontal="center" vertical="center" wrapText="1"/>
    </xf>
    <xf numFmtId="0" fontId="31" fillId="4" borderId="30" xfId="0" applyFont="1" applyFill="1" applyBorder="1" applyAlignment="1">
      <alignment horizontal="left" vertical="center"/>
    </xf>
    <xf numFmtId="3" fontId="39" fillId="4" borderId="30" xfId="0" applyNumberFormat="1" applyFont="1" applyFill="1" applyBorder="1" applyAlignment="1">
      <alignment horizontal="center" vertical="center"/>
    </xf>
    <xf numFmtId="3" fontId="31" fillId="4" borderId="30" xfId="0" applyNumberFormat="1" applyFont="1" applyFill="1" applyBorder="1" applyAlignment="1">
      <alignment vertical="center"/>
    </xf>
    <xf numFmtId="49" fontId="31" fillId="4" borderId="30" xfId="0" quotePrefix="1" applyNumberFormat="1" applyFont="1" applyFill="1" applyBorder="1" applyAlignment="1">
      <alignment horizontal="left" vertical="center"/>
    </xf>
    <xf numFmtId="176" fontId="31" fillId="4" borderId="30" xfId="0" applyNumberFormat="1" applyFont="1" applyFill="1" applyBorder="1" applyAlignment="1">
      <alignment horizontal="left" vertical="center" wrapText="1"/>
    </xf>
    <xf numFmtId="3" fontId="31" fillId="4" borderId="30" xfId="0" applyNumberFormat="1" applyFont="1" applyFill="1" applyBorder="1" applyAlignment="1">
      <alignment horizontal="center" vertical="center" wrapText="1"/>
    </xf>
    <xf numFmtId="176" fontId="31" fillId="4" borderId="30" xfId="0" applyNumberFormat="1" applyFont="1" applyFill="1" applyBorder="1" applyAlignment="1">
      <alignment vertical="center" wrapText="1"/>
    </xf>
    <xf numFmtId="3" fontId="31" fillId="4" borderId="30" xfId="0" applyNumberFormat="1" applyFont="1" applyFill="1" applyBorder="1" applyAlignment="1">
      <alignment horizontal="right" vertical="center"/>
    </xf>
    <xf numFmtId="172" fontId="31" fillId="4" borderId="30" xfId="0" applyNumberFormat="1" applyFont="1" applyFill="1" applyBorder="1" applyAlignment="1">
      <alignment horizontal="right" vertical="center"/>
    </xf>
    <xf numFmtId="14" fontId="31" fillId="4" borderId="30" xfId="0" applyNumberFormat="1" applyFont="1" applyFill="1" applyBorder="1" applyAlignment="1">
      <alignment horizontal="right" vertical="center" wrapText="1"/>
    </xf>
    <xf numFmtId="0" fontId="30" fillId="4" borderId="30" xfId="0" applyFont="1" applyFill="1" applyBorder="1" applyAlignment="1">
      <alignment horizontal="center" vertical="center"/>
    </xf>
    <xf numFmtId="10" fontId="31" fillId="4" borderId="30" xfId="0" applyNumberFormat="1" applyFont="1" applyFill="1" applyBorder="1" applyAlignment="1">
      <alignment horizontal="right" vertical="center"/>
    </xf>
    <xf numFmtId="14" fontId="31" fillId="4" borderId="30" xfId="0" applyNumberFormat="1" applyFont="1" applyFill="1" applyBorder="1" applyAlignment="1">
      <alignment horizontal="right" vertical="center"/>
    </xf>
    <xf numFmtId="0" fontId="71" fillId="4" borderId="30" xfId="0" applyFont="1" applyFill="1" applyBorder="1" applyAlignment="1">
      <alignment horizontal="center" vertical="center" wrapText="1"/>
    </xf>
    <xf numFmtId="176" fontId="39" fillId="4" borderId="30" xfId="0" applyNumberFormat="1" applyFont="1" applyFill="1" applyBorder="1" applyAlignment="1">
      <alignment horizontal="left" vertical="center" wrapText="1"/>
    </xf>
    <xf numFmtId="187" fontId="31" fillId="4" borderId="30" xfId="0" applyNumberFormat="1" applyFont="1" applyFill="1" applyBorder="1" applyAlignment="1">
      <alignment horizontal="right" vertical="center"/>
    </xf>
    <xf numFmtId="0" fontId="30" fillId="4" borderId="30" xfId="0" applyFont="1" applyFill="1" applyBorder="1" applyAlignment="1">
      <alignment vertical="center"/>
    </xf>
    <xf numFmtId="3" fontId="39" fillId="4" borderId="30" xfId="0" applyNumberFormat="1" applyFont="1" applyFill="1" applyBorder="1" applyAlignment="1">
      <alignment horizontal="center" vertical="center" wrapText="1"/>
    </xf>
    <xf numFmtId="1" fontId="31" fillId="4" borderId="30" xfId="0" applyNumberFormat="1" applyFont="1" applyFill="1" applyBorder="1" applyAlignment="1">
      <alignment vertical="center" wrapText="1"/>
    </xf>
    <xf numFmtId="9" fontId="31" fillId="4" borderId="30" xfId="0" applyNumberFormat="1" applyFont="1" applyFill="1" applyBorder="1" applyAlignment="1">
      <alignment horizontal="center" vertical="center"/>
    </xf>
    <xf numFmtId="9" fontId="31" fillId="4" borderId="30" xfId="0" applyNumberFormat="1" applyFont="1" applyFill="1" applyBorder="1" applyAlignment="1">
      <alignment horizontal="right" vertical="center"/>
    </xf>
    <xf numFmtId="188" fontId="31" fillId="4" borderId="30" xfId="0" applyNumberFormat="1" applyFont="1" applyFill="1" applyBorder="1" applyAlignment="1">
      <alignment horizontal="right" vertical="center" wrapText="1"/>
    </xf>
    <xf numFmtId="187" fontId="31" fillId="4" borderId="30" xfId="0" applyNumberFormat="1" applyFont="1" applyFill="1" applyBorder="1" applyAlignment="1">
      <alignment horizontal="right" vertical="center" wrapText="1"/>
    </xf>
    <xf numFmtId="1" fontId="31" fillId="4" borderId="30" xfId="0" applyNumberFormat="1" applyFont="1" applyFill="1" applyBorder="1" applyAlignment="1">
      <alignment horizontal="right" vertical="center" wrapText="1"/>
    </xf>
    <xf numFmtId="9" fontId="39" fillId="4" borderId="30" xfId="0" applyNumberFormat="1" applyFont="1" applyFill="1" applyBorder="1" applyAlignment="1">
      <alignment horizontal="center" vertical="center"/>
    </xf>
    <xf numFmtId="176" fontId="31" fillId="4" borderId="30" xfId="0" applyNumberFormat="1" applyFont="1" applyFill="1" applyBorder="1" applyAlignment="1">
      <alignment horizontal="right" vertical="center" wrapText="1"/>
    </xf>
    <xf numFmtId="176" fontId="31" fillId="4" borderId="30" xfId="0" applyNumberFormat="1" applyFont="1" applyFill="1" applyBorder="1" applyAlignment="1">
      <alignment vertical="center"/>
    </xf>
    <xf numFmtId="176" fontId="31" fillId="4" borderId="30" xfId="0" applyNumberFormat="1" applyFont="1" applyFill="1" applyBorder="1" applyAlignment="1">
      <alignment horizontal="right" vertical="center"/>
    </xf>
    <xf numFmtId="172" fontId="31" fillId="4" borderId="30" xfId="0" applyNumberFormat="1" applyFont="1" applyFill="1" applyBorder="1" applyAlignment="1">
      <alignment horizontal="right" vertical="center" wrapText="1"/>
    </xf>
    <xf numFmtId="172" fontId="25" fillId="4" borderId="30" xfId="64" applyNumberFormat="1" applyFont="1" applyFill="1" applyBorder="1" applyAlignment="1" applyProtection="1">
      <alignment horizontal="right" vertical="center" wrapText="1"/>
    </xf>
    <xf numFmtId="3" fontId="31" fillId="4" borderId="30" xfId="0" applyNumberFormat="1" applyFont="1" applyFill="1" applyBorder="1" applyAlignment="1">
      <alignment horizontal="center" vertical="center"/>
    </xf>
    <xf numFmtId="14" fontId="31" fillId="4" borderId="30" xfId="0" applyNumberFormat="1" applyFont="1" applyFill="1" applyBorder="1" applyAlignment="1">
      <alignment horizontal="center" vertical="center"/>
    </xf>
    <xf numFmtId="0" fontId="85" fillId="4" borderId="30" xfId="0" applyFont="1" applyFill="1" applyBorder="1" applyAlignment="1">
      <alignment vertical="center" wrapText="1"/>
    </xf>
    <xf numFmtId="176" fontId="31" fillId="4" borderId="30" xfId="0" applyNumberFormat="1" applyFont="1" applyFill="1" applyBorder="1" applyAlignment="1">
      <alignment horizontal="center" vertical="center" wrapText="1"/>
    </xf>
    <xf numFmtId="172" fontId="36" fillId="4" borderId="30" xfId="0" applyNumberFormat="1" applyFont="1" applyFill="1" applyBorder="1" applyAlignment="1">
      <alignment horizontal="right" vertical="center"/>
    </xf>
    <xf numFmtId="3" fontId="36" fillId="4" borderId="30" xfId="0" applyNumberFormat="1" applyFont="1" applyFill="1" applyBorder="1" applyAlignment="1">
      <alignment vertical="center"/>
    </xf>
    <xf numFmtId="14" fontId="36" fillId="4" borderId="30" xfId="0" applyNumberFormat="1" applyFont="1" applyFill="1" applyBorder="1" applyAlignment="1">
      <alignment horizontal="right" vertical="center"/>
    </xf>
    <xf numFmtId="0" fontId="37" fillId="4" borderId="30" xfId="0" applyFont="1" applyFill="1" applyBorder="1" applyAlignment="1">
      <alignment vertical="center" wrapText="1"/>
    </xf>
    <xf numFmtId="3" fontId="36" fillId="4" borderId="30" xfId="0" applyNumberFormat="1" applyFont="1" applyFill="1" applyBorder="1" applyAlignment="1">
      <alignment horizontal="right" vertical="center"/>
    </xf>
    <xf numFmtId="14" fontId="36" fillId="4" borderId="30" xfId="0" applyNumberFormat="1" applyFont="1" applyFill="1" applyBorder="1" applyAlignment="1">
      <alignment horizontal="center" vertical="center"/>
    </xf>
    <xf numFmtId="187" fontId="36" fillId="4" borderId="30" xfId="86" applyNumberFormat="1" applyFont="1" applyFill="1" applyBorder="1" applyAlignment="1">
      <alignment horizontal="right" vertical="center"/>
    </xf>
    <xf numFmtId="9" fontId="31" fillId="4" borderId="30" xfId="0" applyNumberFormat="1" applyFont="1" applyFill="1" applyBorder="1" applyAlignment="1">
      <alignment vertical="center" wrapText="1"/>
    </xf>
    <xf numFmtId="14" fontId="36" fillId="4" borderId="30" xfId="0" applyNumberFormat="1" applyFont="1" applyFill="1" applyBorder="1" applyAlignment="1">
      <alignment horizontal="right" vertical="center" wrapText="1"/>
    </xf>
    <xf numFmtId="0" fontId="31" fillId="4" borderId="30" xfId="0" applyFont="1" applyFill="1" applyBorder="1" applyAlignment="1">
      <alignment horizontal="right" vertical="center"/>
    </xf>
    <xf numFmtId="9" fontId="36" fillId="4" borderId="30" xfId="0" applyNumberFormat="1" applyFont="1" applyFill="1" applyBorder="1" applyAlignment="1">
      <alignment horizontal="right" vertical="center"/>
    </xf>
    <xf numFmtId="1" fontId="32" fillId="4" borderId="30" xfId="0" applyNumberFormat="1" applyFont="1" applyFill="1" applyBorder="1" applyAlignment="1">
      <alignment horizontal="center" vertical="center" wrapText="1"/>
    </xf>
    <xf numFmtId="0" fontId="96" fillId="4" borderId="30" xfId="0" applyFont="1" applyFill="1" applyBorder="1" applyAlignment="1">
      <alignment vertical="center" wrapText="1"/>
    </xf>
    <xf numFmtId="9" fontId="36" fillId="4" borderId="30" xfId="0" applyNumberFormat="1" applyFont="1" applyFill="1" applyBorder="1" applyAlignment="1">
      <alignment vertical="center"/>
    </xf>
    <xf numFmtId="0" fontId="36" fillId="4" borderId="30" xfId="0" applyFont="1" applyFill="1" applyBorder="1" applyAlignment="1">
      <alignment horizontal="right" vertical="center"/>
    </xf>
    <xf numFmtId="187" fontId="31" fillId="4" borderId="30" xfId="0" applyNumberFormat="1" applyFont="1" applyFill="1" applyBorder="1" applyAlignment="1">
      <alignment vertical="center"/>
    </xf>
    <xf numFmtId="0" fontId="25" fillId="4" borderId="30" xfId="43" applyFont="1" applyFill="1" applyBorder="1" applyAlignment="1" applyProtection="1">
      <alignment vertical="center"/>
      <protection locked="0"/>
    </xf>
    <xf numFmtId="3" fontId="36" fillId="4" borderId="30" xfId="0" applyNumberFormat="1" applyFont="1" applyFill="1" applyBorder="1" applyAlignment="1">
      <alignment horizontal="right" vertical="center" wrapText="1"/>
    </xf>
    <xf numFmtId="9" fontId="31" fillId="4" borderId="30" xfId="0" applyNumberFormat="1" applyFont="1" applyFill="1" applyBorder="1" applyAlignment="1">
      <alignment vertical="center"/>
    </xf>
    <xf numFmtId="172" fontId="36" fillId="4" borderId="30" xfId="0" applyNumberFormat="1" applyFont="1" applyFill="1" applyBorder="1" applyAlignment="1">
      <alignment horizontal="right" vertical="center" wrapText="1"/>
    </xf>
    <xf numFmtId="176" fontId="36" fillId="4" borderId="30" xfId="0" applyNumberFormat="1" applyFont="1" applyFill="1" applyBorder="1" applyAlignment="1">
      <alignment horizontal="left" vertical="center" wrapText="1"/>
    </xf>
    <xf numFmtId="0" fontId="71" fillId="4" borderId="30" xfId="0" applyFont="1" applyFill="1" applyBorder="1" applyAlignment="1">
      <alignment horizontal="center" vertical="center"/>
    </xf>
    <xf numFmtId="14" fontId="31" fillId="4" borderId="30" xfId="0" applyNumberFormat="1" applyFont="1" applyFill="1" applyBorder="1" applyAlignment="1">
      <alignment horizontal="center" vertical="center" wrapText="1"/>
    </xf>
    <xf numFmtId="14" fontId="71" fillId="4" borderId="30" xfId="0" applyNumberFormat="1" applyFont="1" applyFill="1" applyBorder="1" applyAlignment="1">
      <alignment vertical="center"/>
    </xf>
    <xf numFmtId="0" fontId="71" fillId="4" borderId="30" xfId="0" applyFont="1" applyFill="1" applyBorder="1" applyAlignment="1">
      <alignment vertical="center"/>
    </xf>
    <xf numFmtId="0" fontId="0" fillId="4" borderId="30" xfId="0" applyFill="1" applyBorder="1" applyAlignment="1">
      <alignment horizontal="center" vertical="center"/>
    </xf>
    <xf numFmtId="0" fontId="86" fillId="4" borderId="30" xfId="0" applyFont="1" applyFill="1" applyBorder="1" applyAlignment="1">
      <alignment horizontal="center" vertical="center"/>
    </xf>
    <xf numFmtId="43" fontId="31" fillId="4" borderId="30" xfId="86" applyFont="1" applyFill="1" applyBorder="1" applyAlignment="1">
      <alignment vertical="center" wrapText="1"/>
    </xf>
    <xf numFmtId="176" fontId="39" fillId="4" borderId="30" xfId="0" applyNumberFormat="1" applyFont="1" applyFill="1" applyBorder="1" applyAlignment="1">
      <alignment horizontal="center" vertical="center" wrapText="1"/>
    </xf>
    <xf numFmtId="189" fontId="60" fillId="11" borderId="30" xfId="0" applyNumberFormat="1" applyFont="1" applyFill="1" applyBorder="1" applyAlignment="1">
      <alignment horizontal="center" vertical="center" wrapText="1"/>
    </xf>
    <xf numFmtId="49" fontId="39" fillId="4" borderId="30" xfId="0" quotePrefix="1" applyNumberFormat="1" applyFont="1" applyFill="1" applyBorder="1" applyAlignment="1">
      <alignment vertical="center" wrapText="1"/>
    </xf>
    <xf numFmtId="0" fontId="71" fillId="4" borderId="30" xfId="0" applyFont="1" applyFill="1" applyBorder="1" applyAlignment="1">
      <alignment horizontal="left" vertical="center"/>
    </xf>
    <xf numFmtId="0" fontId="86" fillId="4" borderId="30" xfId="0" applyFont="1" applyFill="1" applyBorder="1" applyAlignment="1">
      <alignment vertical="center"/>
    </xf>
    <xf numFmtId="0" fontId="86" fillId="4" borderId="30" xfId="0" applyFont="1" applyFill="1" applyBorder="1" applyAlignment="1">
      <alignment horizontal="left" vertical="center"/>
    </xf>
    <xf numFmtId="0" fontId="86" fillId="4" borderId="30" xfId="0" applyFont="1" applyFill="1" applyBorder="1" applyAlignment="1">
      <alignment horizontal="center" vertical="center" wrapText="1"/>
    </xf>
    <xf numFmtId="9" fontId="71" fillId="4" borderId="30" xfId="0" applyNumberFormat="1" applyFont="1" applyFill="1" applyBorder="1" applyAlignment="1">
      <alignment horizontal="center" vertical="center"/>
    </xf>
    <xf numFmtId="0" fontId="30" fillId="4" borderId="30" xfId="0" applyFont="1" applyFill="1" applyBorder="1" applyAlignment="1">
      <alignment horizontal="left" vertical="center"/>
    </xf>
    <xf numFmtId="9" fontId="30" fillId="4" borderId="30" xfId="0" applyNumberFormat="1" applyFont="1" applyFill="1" applyBorder="1" applyAlignment="1">
      <alignment horizontal="center" vertical="center"/>
    </xf>
    <xf numFmtId="0" fontId="39" fillId="4" borderId="30" xfId="0" applyFont="1" applyFill="1" applyBorder="1" applyAlignment="1">
      <alignment horizontal="left" vertical="center"/>
    </xf>
    <xf numFmtId="9" fontId="39" fillId="4" borderId="30" xfId="0" applyNumberFormat="1" applyFont="1" applyFill="1" applyBorder="1" applyAlignment="1">
      <alignment horizontal="left" vertical="center"/>
    </xf>
    <xf numFmtId="172" fontId="31" fillId="4" borderId="30" xfId="0" applyNumberFormat="1" applyFont="1" applyFill="1" applyBorder="1" applyAlignment="1">
      <alignment horizontal="center" vertical="center"/>
    </xf>
    <xf numFmtId="14" fontId="25" fillId="4" borderId="30" xfId="0" applyNumberFormat="1" applyFont="1" applyFill="1" applyBorder="1" applyAlignment="1">
      <alignment horizontal="center" vertical="center" wrapText="1"/>
    </xf>
    <xf numFmtId="0" fontId="8" fillId="4" borderId="30" xfId="43" applyFont="1" applyFill="1" applyBorder="1" applyAlignment="1" applyProtection="1">
      <alignment vertical="center"/>
      <protection locked="0"/>
    </xf>
    <xf numFmtId="0" fontId="101" fillId="4" borderId="30" xfId="0" applyFont="1" applyFill="1" applyBorder="1" applyAlignment="1">
      <alignment horizontal="center" vertical="center"/>
    </xf>
    <xf numFmtId="49" fontId="39" fillId="4" borderId="30" xfId="0" applyNumberFormat="1" applyFont="1" applyFill="1" applyBorder="1" applyAlignment="1">
      <alignment horizontal="left" vertical="center"/>
    </xf>
    <xf numFmtId="0" fontId="76" fillId="4" borderId="30" xfId="0" applyFont="1" applyFill="1" applyBorder="1" applyAlignment="1">
      <alignment horizontal="left" vertical="center"/>
    </xf>
    <xf numFmtId="176" fontId="71" fillId="4" borderId="30" xfId="0" applyNumberFormat="1" applyFont="1" applyFill="1" applyBorder="1" applyAlignment="1">
      <alignment vertical="center" wrapText="1"/>
    </xf>
    <xf numFmtId="172" fontId="31" fillId="4" borderId="30" xfId="0" applyNumberFormat="1" applyFont="1" applyFill="1" applyBorder="1" applyAlignment="1">
      <alignment horizontal="center" vertical="center" wrapText="1"/>
    </xf>
    <xf numFmtId="49" fontId="30" fillId="4" borderId="30" xfId="0" applyNumberFormat="1" applyFont="1" applyFill="1" applyBorder="1" applyAlignment="1">
      <alignment horizontal="left" vertical="center"/>
    </xf>
    <xf numFmtId="176" fontId="30" fillId="4" borderId="30" xfId="0" applyNumberFormat="1" applyFont="1" applyFill="1" applyBorder="1" applyAlignment="1">
      <alignment horizontal="left" vertical="center" wrapText="1"/>
    </xf>
    <xf numFmtId="176" fontId="30" fillId="4" borderId="30" xfId="0" applyNumberFormat="1" applyFont="1" applyFill="1" applyBorder="1" applyAlignment="1">
      <alignment vertical="center" wrapText="1"/>
    </xf>
    <xf numFmtId="9" fontId="30" fillId="4" borderId="30" xfId="0" applyNumberFormat="1" applyFont="1" applyFill="1" applyBorder="1" applyAlignment="1">
      <alignment vertical="center" wrapText="1"/>
    </xf>
    <xf numFmtId="172" fontId="30" fillId="4" borderId="30" xfId="0" applyNumberFormat="1" applyFont="1" applyFill="1" applyBorder="1" applyAlignment="1">
      <alignment horizontal="right" vertical="center" wrapText="1"/>
    </xf>
    <xf numFmtId="3" fontId="30" fillId="4" borderId="30" xfId="0" applyNumberFormat="1" applyFont="1" applyFill="1" applyBorder="1" applyAlignment="1">
      <alignment vertical="center"/>
    </xf>
    <xf numFmtId="14" fontId="30" fillId="4" borderId="30" xfId="0" applyNumberFormat="1" applyFont="1" applyFill="1" applyBorder="1" applyAlignment="1">
      <alignment horizontal="right" vertical="center" wrapText="1"/>
    </xf>
    <xf numFmtId="176" fontId="39" fillId="4" borderId="30" xfId="0" applyNumberFormat="1" applyFont="1" applyFill="1" applyBorder="1" applyAlignment="1">
      <alignment vertical="center" wrapText="1"/>
    </xf>
    <xf numFmtId="9" fontId="39" fillId="4" borderId="30" xfId="0" applyNumberFormat="1" applyFont="1" applyFill="1" applyBorder="1" applyAlignment="1">
      <alignment vertical="center" wrapText="1"/>
    </xf>
    <xf numFmtId="172" fontId="39" fillId="4" borderId="30" xfId="0" applyNumberFormat="1" applyFont="1" applyFill="1" applyBorder="1" applyAlignment="1">
      <alignment horizontal="right" vertical="center" wrapText="1"/>
    </xf>
    <xf numFmtId="3" fontId="39" fillId="4" borderId="30" xfId="0" applyNumberFormat="1" applyFont="1" applyFill="1" applyBorder="1" applyAlignment="1">
      <alignment vertical="center"/>
    </xf>
    <xf numFmtId="14" fontId="39" fillId="4" borderId="30" xfId="0" applyNumberFormat="1" applyFont="1" applyFill="1" applyBorder="1" applyAlignment="1">
      <alignment horizontal="right" vertical="center" wrapText="1"/>
    </xf>
    <xf numFmtId="14" fontId="39" fillId="4" borderId="30" xfId="0" applyNumberFormat="1" applyFont="1" applyFill="1" applyBorder="1" applyAlignment="1">
      <alignment horizontal="right" vertical="center"/>
    </xf>
    <xf numFmtId="14" fontId="39" fillId="4" borderId="30" xfId="0" applyNumberFormat="1" applyFont="1" applyFill="1" applyBorder="1" applyAlignment="1">
      <alignment horizontal="center" vertical="center" wrapText="1"/>
    </xf>
    <xf numFmtId="0" fontId="25" fillId="4" borderId="30" xfId="0" applyFont="1" applyFill="1" applyBorder="1" applyAlignment="1">
      <alignment vertical="center" wrapText="1"/>
    </xf>
    <xf numFmtId="172" fontId="39" fillId="4" borderId="30" xfId="0" applyNumberFormat="1" applyFont="1" applyFill="1" applyBorder="1" applyAlignment="1">
      <alignment horizontal="right" vertical="center"/>
    </xf>
    <xf numFmtId="9" fontId="31" fillId="4" borderId="30" xfId="0" applyNumberFormat="1" applyFont="1" applyFill="1" applyBorder="1" applyAlignment="1">
      <alignment horizontal="left" vertical="center" wrapText="1"/>
    </xf>
    <xf numFmtId="49" fontId="33" fillId="4" borderId="30" xfId="0" applyNumberFormat="1" applyFont="1" applyFill="1" applyBorder="1" applyAlignment="1">
      <alignment vertical="center"/>
    </xf>
    <xf numFmtId="49" fontId="32" fillId="4" borderId="30" xfId="0" applyNumberFormat="1" applyFont="1" applyFill="1" applyBorder="1" applyAlignment="1">
      <alignment horizontal="left" vertical="center"/>
    </xf>
    <xf numFmtId="0" fontId="32" fillId="4" borderId="30" xfId="0" applyFont="1" applyFill="1" applyBorder="1" applyAlignment="1">
      <alignment horizontal="left" vertical="center"/>
    </xf>
    <xf numFmtId="3" fontId="32" fillId="4" borderId="30" xfId="0" applyNumberFormat="1" applyFont="1" applyFill="1" applyBorder="1" applyAlignment="1">
      <alignment horizontal="center" vertical="center" wrapText="1"/>
    </xf>
    <xf numFmtId="3" fontId="32" fillId="4" borderId="30" xfId="0" applyNumberFormat="1" applyFont="1" applyFill="1" applyBorder="1" applyAlignment="1">
      <alignment vertical="center"/>
    </xf>
    <xf numFmtId="172" fontId="32" fillId="4" borderId="30" xfId="0" applyNumberFormat="1" applyFont="1" applyFill="1" applyBorder="1" applyAlignment="1">
      <alignment horizontal="right" vertical="center" wrapText="1"/>
    </xf>
    <xf numFmtId="14" fontId="32" fillId="4" borderId="30" xfId="0" applyNumberFormat="1" applyFont="1" applyFill="1" applyBorder="1" applyAlignment="1">
      <alignment horizontal="right" vertical="center"/>
    </xf>
    <xf numFmtId="14" fontId="32" fillId="4" borderId="30" xfId="0" applyNumberFormat="1" applyFont="1" applyFill="1" applyBorder="1" applyAlignment="1">
      <alignment horizontal="right" vertical="center" wrapText="1"/>
    </xf>
    <xf numFmtId="49" fontId="32" fillId="4" borderId="30" xfId="0" applyNumberFormat="1" applyFont="1" applyFill="1" applyBorder="1" applyAlignment="1">
      <alignment vertical="center"/>
    </xf>
    <xf numFmtId="0" fontId="31" fillId="4" borderId="31" xfId="0" applyFont="1" applyFill="1" applyBorder="1" applyAlignment="1">
      <alignment vertical="center" wrapText="1"/>
    </xf>
    <xf numFmtId="49" fontId="31" fillId="4" borderId="31" xfId="0" quotePrefix="1" applyNumberFormat="1" applyFont="1" applyFill="1" applyBorder="1" applyAlignment="1">
      <alignment horizontal="left" vertical="center"/>
    </xf>
    <xf numFmtId="176" fontId="31" fillId="4" borderId="31" xfId="0" applyNumberFormat="1" applyFont="1" applyFill="1" applyBorder="1" applyAlignment="1">
      <alignment horizontal="left" vertical="center" wrapText="1"/>
    </xf>
    <xf numFmtId="3" fontId="31" fillId="4" borderId="31" xfId="0" applyNumberFormat="1" applyFont="1" applyFill="1" applyBorder="1" applyAlignment="1">
      <alignment vertical="center" wrapText="1"/>
    </xf>
    <xf numFmtId="3" fontId="31" fillId="4" borderId="31" xfId="0" applyNumberFormat="1" applyFont="1" applyFill="1" applyBorder="1" applyAlignment="1">
      <alignment horizontal="right" vertical="center"/>
    </xf>
    <xf numFmtId="172" fontId="31" fillId="4" borderId="31" xfId="0" applyNumberFormat="1" applyFont="1" applyFill="1" applyBorder="1" applyAlignment="1">
      <alignment horizontal="right" vertical="center" wrapText="1"/>
    </xf>
    <xf numFmtId="3" fontId="25" fillId="4" borderId="31" xfId="86" applyNumberFormat="1" applyFont="1" applyFill="1" applyBorder="1" applyAlignment="1" applyProtection="1">
      <alignment vertical="center"/>
      <protection locked="0"/>
    </xf>
    <xf numFmtId="172" fontId="25" fillId="4" borderId="31" xfId="69" applyNumberFormat="1" applyFont="1" applyFill="1" applyBorder="1" applyAlignment="1" applyProtection="1">
      <alignment vertical="center"/>
      <protection locked="0"/>
    </xf>
    <xf numFmtId="14" fontId="31" fillId="4" borderId="31" xfId="0" applyNumberFormat="1" applyFont="1" applyFill="1" applyBorder="1" applyAlignment="1">
      <alignment horizontal="right" vertical="center"/>
    </xf>
    <xf numFmtId="14" fontId="31" fillId="4" borderId="31" xfId="0" applyNumberFormat="1" applyFont="1" applyFill="1" applyBorder="1" applyAlignment="1">
      <alignment horizontal="right" vertical="center" wrapText="1"/>
    </xf>
    <xf numFmtId="0" fontId="25" fillId="4" borderId="31" xfId="44" applyFont="1" applyFill="1" applyBorder="1" applyAlignment="1" applyProtection="1">
      <alignment vertical="center" wrapText="1"/>
      <protection locked="0"/>
    </xf>
    <xf numFmtId="0" fontId="31" fillId="4" borderId="0" xfId="0" applyFont="1" applyFill="1" applyAlignment="1">
      <alignment horizontal="center" vertical="center"/>
    </xf>
    <xf numFmtId="0" fontId="31" fillId="4" borderId="0" xfId="0" applyFont="1" applyFill="1" applyAlignment="1">
      <alignment vertical="center" wrapText="1"/>
    </xf>
    <xf numFmtId="49" fontId="31" fillId="4" borderId="0" xfId="0" quotePrefix="1" applyNumberFormat="1" applyFont="1" applyFill="1" applyAlignment="1">
      <alignment horizontal="left" vertical="center"/>
    </xf>
    <xf numFmtId="176" fontId="31" fillId="4" borderId="0" xfId="0" applyNumberFormat="1" applyFont="1" applyFill="1" applyAlignment="1">
      <alignment horizontal="left" vertical="center" wrapText="1"/>
    </xf>
    <xf numFmtId="3" fontId="31" fillId="4" borderId="0" xfId="0" applyNumberFormat="1" applyFont="1" applyFill="1" applyAlignment="1">
      <alignment vertical="center" wrapText="1"/>
    </xf>
    <xf numFmtId="3" fontId="31" fillId="4" borderId="0" xfId="0" applyNumberFormat="1" applyFont="1" applyFill="1" applyAlignment="1">
      <alignment horizontal="right" vertical="center"/>
    </xf>
    <xf numFmtId="172" fontId="31" fillId="4" borderId="0" xfId="0" applyNumberFormat="1" applyFont="1" applyFill="1" applyAlignment="1">
      <alignment horizontal="right" vertical="center" wrapText="1"/>
    </xf>
    <xf numFmtId="172" fontId="25" fillId="4" borderId="0" xfId="69" applyNumberFormat="1" applyFont="1" applyFill="1" applyBorder="1" applyAlignment="1" applyProtection="1">
      <alignment horizontal="center" vertical="center"/>
    </xf>
    <xf numFmtId="3" fontId="25" fillId="4" borderId="0" xfId="86" applyNumberFormat="1" applyFont="1" applyFill="1" applyBorder="1" applyAlignment="1" applyProtection="1">
      <alignment vertical="center"/>
      <protection locked="0"/>
    </xf>
    <xf numFmtId="14" fontId="31" fillId="4" borderId="0" xfId="0" applyNumberFormat="1" applyFont="1" applyFill="1" applyAlignment="1">
      <alignment horizontal="right" vertical="center"/>
    </xf>
    <xf numFmtId="14" fontId="31" fillId="4" borderId="0" xfId="0" applyNumberFormat="1" applyFont="1" applyFill="1" applyAlignment="1">
      <alignment horizontal="right" vertical="center" wrapText="1"/>
    </xf>
    <xf numFmtId="0" fontId="25" fillId="4" borderId="0" xfId="44" applyFont="1" applyFill="1" applyAlignment="1" applyProtection="1">
      <alignment vertical="center" wrapText="1"/>
      <protection locked="0"/>
    </xf>
    <xf numFmtId="0" fontId="31" fillId="4" borderId="0" xfId="0" applyFont="1" applyFill="1" applyAlignment="1">
      <alignment horizontal="center" vertical="center" wrapText="1"/>
    </xf>
    <xf numFmtId="172" fontId="25" fillId="4" borderId="0" xfId="35" applyNumberFormat="1" applyFont="1" applyFill="1" applyAlignment="1" applyProtection="1">
      <alignment horizontal="right" vertical="center" wrapText="1"/>
      <protection locked="0"/>
    </xf>
    <xf numFmtId="0" fontId="2" fillId="4" borderId="30" xfId="43" applyFont="1" applyFill="1" applyBorder="1" applyAlignment="1">
      <alignment vertical="center"/>
    </xf>
    <xf numFmtId="3" fontId="2" fillId="4" borderId="30" xfId="43" applyNumberFormat="1" applyFont="1" applyFill="1" applyBorder="1" applyAlignment="1" applyProtection="1">
      <alignment vertical="center"/>
      <protection locked="0"/>
    </xf>
    <xf numFmtId="0" fontId="8" fillId="4" borderId="30" xfId="43" applyFont="1" applyFill="1" applyBorder="1" applyAlignment="1">
      <alignment vertical="center"/>
    </xf>
    <xf numFmtId="3" fontId="8" fillId="4" borderId="30" xfId="43" applyNumberFormat="1" applyFont="1" applyFill="1" applyBorder="1" applyAlignment="1" applyProtection="1">
      <alignment vertical="center"/>
      <protection locked="0"/>
    </xf>
    <xf numFmtId="0" fontId="11" fillId="4" borderId="30" xfId="0" applyFont="1" applyFill="1" applyBorder="1" applyAlignment="1">
      <alignment horizontal="left" vertical="center" wrapText="1"/>
    </xf>
    <xf numFmtId="14" fontId="31" fillId="4" borderId="30" xfId="0" applyNumberFormat="1" applyFont="1" applyFill="1" applyBorder="1" applyAlignment="1">
      <alignment horizontal="left" vertical="center" wrapText="1"/>
    </xf>
    <xf numFmtId="0" fontId="101" fillId="4" borderId="30" xfId="0" applyFont="1" applyFill="1" applyBorder="1" applyAlignment="1">
      <alignment vertical="center"/>
    </xf>
    <xf numFmtId="172" fontId="25" fillId="4" borderId="30" xfId="69" applyNumberFormat="1" applyFont="1" applyFill="1" applyBorder="1" applyAlignment="1" applyProtection="1">
      <alignment horizontal="center" vertical="center"/>
      <protection locked="0"/>
    </xf>
    <xf numFmtId="0" fontId="70" fillId="4" borderId="30" xfId="43" applyFont="1" applyFill="1" applyBorder="1" applyAlignment="1">
      <alignment vertical="center"/>
    </xf>
    <xf numFmtId="0" fontId="31" fillId="4" borderId="31" xfId="0" applyFont="1" applyFill="1" applyBorder="1" applyAlignment="1">
      <alignment horizontal="left" vertical="center" wrapText="1"/>
    </xf>
    <xf numFmtId="0" fontId="25" fillId="4" borderId="31" xfId="43" applyFont="1" applyFill="1" applyBorder="1" applyAlignment="1">
      <alignment vertical="center"/>
    </xf>
    <xf numFmtId="172" fontId="25" fillId="4" borderId="31" xfId="69" applyNumberFormat="1" applyFont="1" applyFill="1" applyBorder="1" applyAlignment="1" applyProtection="1">
      <alignment vertical="center"/>
    </xf>
    <xf numFmtId="0" fontId="31" fillId="4" borderId="0" xfId="0" applyFont="1" applyFill="1" applyAlignment="1">
      <alignment horizontal="left" vertical="center" wrapText="1"/>
    </xf>
    <xf numFmtId="172" fontId="25" fillId="4" borderId="0" xfId="69" applyNumberFormat="1" applyFont="1" applyFill="1" applyBorder="1" applyAlignment="1" applyProtection="1">
      <alignment vertical="center"/>
    </xf>
    <xf numFmtId="0" fontId="69" fillId="4" borderId="0" xfId="0" applyFont="1" applyFill="1" applyAlignment="1">
      <alignment vertical="center"/>
    </xf>
    <xf numFmtId="0" fontId="69" fillId="4" borderId="0" xfId="0" applyFont="1" applyFill="1" applyAlignment="1">
      <alignment horizontal="left" vertical="center"/>
    </xf>
    <xf numFmtId="0" fontId="34" fillId="0" borderId="52" xfId="0" applyFont="1" applyBorder="1" applyAlignment="1">
      <alignment horizontal="center" vertical="center"/>
    </xf>
    <xf numFmtId="0" fontId="35" fillId="0" borderId="52" xfId="0" applyFont="1" applyBorder="1" applyAlignment="1">
      <alignment horizontal="left" vertical="center"/>
    </xf>
    <xf numFmtId="0" fontId="34" fillId="0" borderId="52" xfId="0" applyFont="1" applyBorder="1" applyAlignment="1">
      <alignment horizontal="center" vertical="center" wrapText="1"/>
    </xf>
    <xf numFmtId="0" fontId="104" fillId="0" borderId="52" xfId="0" applyFont="1" applyBorder="1" applyAlignment="1">
      <alignment horizontal="center" vertical="center"/>
    </xf>
    <xf numFmtId="0" fontId="104" fillId="0" borderId="52" xfId="0" applyFont="1" applyBorder="1" applyAlignment="1">
      <alignment horizontal="left" vertical="center"/>
    </xf>
    <xf numFmtId="3" fontId="104" fillId="0" borderId="52" xfId="0" applyNumberFormat="1" applyFont="1" applyBorder="1" applyAlignment="1">
      <alignment horizontal="center" vertical="center" wrapText="1"/>
    </xf>
    <xf numFmtId="172" fontId="104" fillId="0" borderId="52" xfId="0" applyNumberFormat="1" applyFont="1" applyBorder="1" applyAlignment="1">
      <alignment horizontal="center" vertical="center" wrapText="1"/>
    </xf>
    <xf numFmtId="3" fontId="34" fillId="0" borderId="52" xfId="0" applyNumberFormat="1" applyFont="1" applyBorder="1" applyAlignment="1">
      <alignment horizontal="center" vertical="center" wrapText="1"/>
    </xf>
    <xf numFmtId="0" fontId="70" fillId="0" borderId="52" xfId="0" applyFont="1" applyBorder="1" applyAlignment="1">
      <alignment vertical="center"/>
    </xf>
    <xf numFmtId="0" fontId="34" fillId="0" borderId="53" xfId="0" applyFont="1" applyBorder="1" applyAlignment="1">
      <alignment horizontal="center" vertical="center"/>
    </xf>
    <xf numFmtId="0" fontId="34" fillId="0" borderId="53" xfId="0" applyFont="1" applyBorder="1" applyAlignment="1">
      <alignment horizontal="left" vertical="center"/>
    </xf>
    <xf numFmtId="0" fontId="34" fillId="0" borderId="53" xfId="0" applyFont="1" applyBorder="1" applyAlignment="1">
      <alignment horizontal="center" vertical="center" wrapText="1"/>
    </xf>
    <xf numFmtId="0" fontId="104" fillId="0" borderId="53" xfId="0" applyFont="1" applyBorder="1" applyAlignment="1">
      <alignment horizontal="center" vertical="center"/>
    </xf>
    <xf numFmtId="0" fontId="104" fillId="0" borderId="53" xfId="0" applyFont="1" applyBorder="1" applyAlignment="1">
      <alignment horizontal="left" vertical="center"/>
    </xf>
    <xf numFmtId="2" fontId="104" fillId="0" borderId="53" xfId="0" applyNumberFormat="1" applyFont="1" applyBorder="1" applyAlignment="1">
      <alignment horizontal="left" vertical="center"/>
    </xf>
    <xf numFmtId="185" fontId="104" fillId="0" borderId="53" xfId="0" applyNumberFormat="1" applyFont="1" applyBorder="1" applyAlignment="1">
      <alignment horizontal="center" vertical="center"/>
    </xf>
    <xf numFmtId="3" fontId="104" fillId="0" borderId="53" xfId="0" applyNumberFormat="1" applyFont="1" applyBorder="1" applyAlignment="1">
      <alignment horizontal="center" vertical="center" wrapText="1"/>
    </xf>
    <xf numFmtId="172" fontId="104" fillId="0" borderId="53" xfId="0" applyNumberFormat="1" applyFont="1" applyBorder="1" applyAlignment="1">
      <alignment horizontal="center" vertical="center" wrapText="1"/>
    </xf>
    <xf numFmtId="3" fontId="34" fillId="0" borderId="53" xfId="0" applyNumberFormat="1" applyFont="1" applyBorder="1" applyAlignment="1">
      <alignment horizontal="center" vertical="center" wrapText="1"/>
    </xf>
    <xf numFmtId="0" fontId="70" fillId="0" borderId="53" xfId="0" applyFont="1" applyBorder="1" applyAlignment="1">
      <alignment vertical="center"/>
    </xf>
    <xf numFmtId="0" fontId="72" fillId="0" borderId="53" xfId="0" applyFont="1" applyBorder="1" applyAlignment="1">
      <alignment horizontal="center" vertical="center"/>
    </xf>
    <xf numFmtId="0" fontId="72" fillId="0" borderId="53" xfId="0" applyFont="1" applyBorder="1" applyAlignment="1">
      <alignment horizontal="left" vertical="center" wrapText="1"/>
    </xf>
    <xf numFmtId="0" fontId="72" fillId="0" borderId="53" xfId="0" applyFont="1" applyBorder="1" applyAlignment="1">
      <alignment horizontal="center" vertical="center" wrapText="1"/>
    </xf>
    <xf numFmtId="0" fontId="2" fillId="0" borderId="53" xfId="0" applyFont="1" applyBorder="1" applyAlignment="1">
      <alignment horizontal="center" vertical="center"/>
    </xf>
    <xf numFmtId="0" fontId="2" fillId="0" borderId="53" xfId="0" applyFont="1" applyBorder="1" applyAlignment="1">
      <alignment horizontal="left" vertical="center"/>
    </xf>
    <xf numFmtId="0" fontId="2" fillId="0" borderId="53" xfId="0" applyFont="1" applyBorder="1" applyAlignment="1">
      <alignment horizontal="center" vertical="center" wrapText="1"/>
    </xf>
    <xf numFmtId="0" fontId="75" fillId="0" borderId="53" xfId="0" applyFont="1" applyBorder="1" applyAlignment="1">
      <alignment horizontal="left" vertical="center"/>
    </xf>
    <xf numFmtId="0" fontId="75" fillId="0" borderId="53" xfId="0" applyFont="1" applyBorder="1" applyAlignment="1">
      <alignment horizontal="center" vertical="center"/>
    </xf>
    <xf numFmtId="3" fontId="75" fillId="0" borderId="53" xfId="0" applyNumberFormat="1" applyFont="1" applyBorder="1" applyAlignment="1">
      <alignment horizontal="center" vertical="center" wrapText="1"/>
    </xf>
    <xf numFmtId="172" fontId="75" fillId="0" borderId="53" xfId="0" applyNumberFormat="1" applyFont="1" applyBorder="1" applyAlignment="1">
      <alignment horizontal="center" vertical="center" wrapText="1"/>
    </xf>
    <xf numFmtId="3" fontId="72" fillId="0" borderId="53" xfId="0" applyNumberFormat="1" applyFont="1" applyBorder="1" applyAlignment="1">
      <alignment horizontal="center" vertical="center" wrapText="1"/>
    </xf>
    <xf numFmtId="0" fontId="2" fillId="0" borderId="53" xfId="0" applyFont="1" applyBorder="1" applyAlignment="1">
      <alignment vertical="center"/>
    </xf>
    <xf numFmtId="0" fontId="11" fillId="0" borderId="53" xfId="0" applyFont="1" applyBorder="1" applyAlignment="1">
      <alignment horizontal="center" vertical="center"/>
    </xf>
    <xf numFmtId="1" fontId="11" fillId="0" borderId="53" xfId="0" applyNumberFormat="1" applyFont="1" applyBorder="1" applyAlignment="1">
      <alignment horizontal="center" vertical="center" wrapText="1"/>
    </xf>
    <xf numFmtId="0" fontId="73" fillId="0" borderId="53" xfId="0" applyFont="1" applyBorder="1" applyAlignment="1">
      <alignment horizontal="left" vertical="center" wrapText="1"/>
    </xf>
    <xf numFmtId="0" fontId="11" fillId="0" borderId="53" xfId="0" applyFont="1" applyBorder="1" applyAlignment="1">
      <alignment horizontal="center" vertical="center" wrapText="1"/>
    </xf>
    <xf numFmtId="0" fontId="25" fillId="0" borderId="53" xfId="0" applyFont="1" applyBorder="1" applyAlignment="1">
      <alignment horizontal="center" vertical="center"/>
    </xf>
    <xf numFmtId="0" fontId="25" fillId="0" borderId="53" xfId="0" applyFont="1" applyBorder="1" applyAlignment="1">
      <alignment horizontal="left" vertical="center"/>
    </xf>
    <xf numFmtId="0" fontId="25" fillId="0" borderId="53" xfId="0" applyFont="1" applyBorder="1" applyAlignment="1">
      <alignment horizontal="center" vertical="center" wrapText="1"/>
    </xf>
    <xf numFmtId="0" fontId="69" fillId="0" borderId="53" xfId="0" applyFont="1" applyBorder="1" applyAlignment="1">
      <alignment horizontal="left" vertical="center"/>
    </xf>
    <xf numFmtId="0" fontId="69" fillId="0" borderId="53" xfId="0" applyFont="1" applyBorder="1" applyAlignment="1">
      <alignment horizontal="center" vertical="center"/>
    </xf>
    <xf numFmtId="0" fontId="69" fillId="0" borderId="53" xfId="0" applyFont="1" applyBorder="1" applyAlignment="1">
      <alignment horizontal="center" vertical="center" wrapText="1"/>
    </xf>
    <xf numFmtId="172" fontId="69" fillId="0" borderId="53" xfId="0" applyNumberFormat="1" applyFont="1" applyBorder="1" applyAlignment="1">
      <alignment horizontal="center" vertical="center" wrapText="1"/>
    </xf>
    <xf numFmtId="3" fontId="11" fillId="0" borderId="53" xfId="0" applyNumberFormat="1" applyFont="1" applyBorder="1" applyAlignment="1">
      <alignment horizontal="center" vertical="center" wrapText="1"/>
    </xf>
    <xf numFmtId="9" fontId="11" fillId="0" borderId="53" xfId="0" applyNumberFormat="1" applyFont="1" applyBorder="1" applyAlignment="1">
      <alignment horizontal="center" vertical="center"/>
    </xf>
    <xf numFmtId="0" fontId="8" fillId="0" borderId="53" xfId="0" applyFont="1" applyBorder="1" applyAlignment="1">
      <alignment vertical="center"/>
    </xf>
    <xf numFmtId="0" fontId="11" fillId="0" borderId="53" xfId="0" applyFont="1" applyBorder="1" applyAlignment="1">
      <alignment horizontal="left" vertical="center" wrapText="1"/>
    </xf>
    <xf numFmtId="1" fontId="11" fillId="0" borderId="53" xfId="0" applyNumberFormat="1" applyFont="1" applyBorder="1" applyAlignment="1">
      <alignment vertical="center"/>
    </xf>
    <xf numFmtId="172" fontId="11" fillId="0" borderId="53" xfId="0" applyNumberFormat="1" applyFont="1" applyBorder="1" applyAlignment="1">
      <alignment vertical="center"/>
    </xf>
    <xf numFmtId="3" fontId="11" fillId="0" borderId="53" xfId="0" applyNumberFormat="1" applyFont="1" applyBorder="1" applyAlignment="1">
      <alignment vertical="center" wrapText="1"/>
    </xf>
    <xf numFmtId="3" fontId="11" fillId="0" borderId="53" xfId="0" applyNumberFormat="1" applyFont="1" applyBorder="1" applyAlignment="1">
      <alignment vertical="center"/>
    </xf>
    <xf numFmtId="14" fontId="11" fillId="0" borderId="53" xfId="0" applyNumberFormat="1" applyFont="1" applyBorder="1" applyAlignment="1">
      <alignment horizontal="center" vertical="center" wrapText="1"/>
    </xf>
    <xf numFmtId="14" fontId="69" fillId="0" borderId="53" xfId="0" applyNumberFormat="1" applyFont="1" applyBorder="1" applyAlignment="1">
      <alignment horizontal="left" vertical="center" wrapText="1"/>
    </xf>
    <xf numFmtId="0" fontId="25" fillId="0" borderId="53" xfId="0" applyFont="1" applyBorder="1" applyAlignment="1">
      <alignment horizontal="left" vertical="center" wrapText="1"/>
    </xf>
    <xf numFmtId="14" fontId="25" fillId="0" borderId="53" xfId="0" applyNumberFormat="1" applyFont="1" applyBorder="1" applyAlignment="1">
      <alignment horizontal="justify" vertical="center" wrapText="1"/>
    </xf>
    <xf numFmtId="0" fontId="25" fillId="0" borderId="53" xfId="0" applyFont="1" applyBorder="1" applyAlignment="1">
      <alignment vertical="center"/>
    </xf>
    <xf numFmtId="0" fontId="70" fillId="0" borderId="53" xfId="0" applyFont="1" applyBorder="1" applyAlignment="1">
      <alignment horizontal="center" vertical="center" wrapText="1"/>
    </xf>
    <xf numFmtId="0" fontId="70" fillId="0" borderId="53" xfId="0" applyFont="1" applyBorder="1" applyAlignment="1">
      <alignment horizontal="center" vertical="center"/>
    </xf>
    <xf numFmtId="0" fontId="6" fillId="0" borderId="53" xfId="0" applyFont="1" applyBorder="1" applyAlignment="1">
      <alignment horizontal="left" vertical="center"/>
    </xf>
    <xf numFmtId="0" fontId="70" fillId="0" borderId="53" xfId="0" applyFont="1" applyBorder="1" applyAlignment="1">
      <alignment horizontal="left" vertical="center"/>
    </xf>
    <xf numFmtId="0" fontId="70" fillId="0" borderId="53" xfId="0" applyFont="1" applyBorder="1" applyAlignment="1">
      <alignment horizontal="left" vertical="center" wrapText="1"/>
    </xf>
    <xf numFmtId="3" fontId="72" fillId="0" borderId="53" xfId="0" applyNumberFormat="1" applyFont="1" applyBorder="1" applyAlignment="1">
      <alignment vertical="center"/>
    </xf>
    <xf numFmtId="172" fontId="72" fillId="0" borderId="53" xfId="0" applyNumberFormat="1" applyFont="1" applyBorder="1" applyAlignment="1">
      <alignment vertical="center"/>
    </xf>
    <xf numFmtId="172" fontId="70" fillId="0" borderId="53" xfId="0" applyNumberFormat="1" applyFont="1" applyBorder="1" applyAlignment="1">
      <alignment horizontal="center" vertical="center" wrapText="1"/>
    </xf>
    <xf numFmtId="14" fontId="70" fillId="0" borderId="53" xfId="0" applyNumberFormat="1" applyFont="1" applyBorder="1" applyAlignment="1">
      <alignment horizontal="justify" vertical="center" wrapText="1"/>
    </xf>
    <xf numFmtId="14" fontId="70" fillId="0" borderId="53" xfId="0" applyNumberFormat="1" applyFont="1" applyBorder="1" applyAlignment="1">
      <alignment horizontal="center" vertical="center" wrapText="1"/>
    </xf>
    <xf numFmtId="0" fontId="2" fillId="0" borderId="53" xfId="0" applyFont="1" applyBorder="1" applyAlignment="1">
      <alignment horizontal="left" vertical="center" wrapText="1"/>
    </xf>
    <xf numFmtId="3" fontId="2" fillId="0" borderId="53" xfId="0" applyNumberFormat="1" applyFont="1" applyBorder="1" applyAlignment="1">
      <alignment vertical="center" wrapText="1"/>
    </xf>
    <xf numFmtId="172" fontId="2" fillId="0" borderId="53" xfId="0" applyNumberFormat="1" applyFont="1" applyBorder="1" applyAlignment="1">
      <alignment horizontal="center" vertical="center" wrapText="1"/>
    </xf>
    <xf numFmtId="14" fontId="2" fillId="0" borderId="53" xfId="0" applyNumberFormat="1" applyFont="1" applyBorder="1" applyAlignment="1">
      <alignment horizontal="center" vertical="center" wrapText="1"/>
    </xf>
    <xf numFmtId="14" fontId="2" fillId="0" borderId="53" xfId="0" applyNumberFormat="1" applyFont="1" applyBorder="1" applyAlignment="1">
      <alignment horizontal="justify" vertical="center" wrapText="1"/>
    </xf>
    <xf numFmtId="0" fontId="8" fillId="0" borderId="53" xfId="0" applyFont="1" applyBorder="1" applyAlignment="1">
      <alignment horizontal="left" vertical="center" wrapText="1"/>
    </xf>
    <xf numFmtId="3" fontId="25" fillId="0" borderId="53" xfId="0" applyNumberFormat="1" applyFont="1" applyBorder="1" applyAlignment="1">
      <alignment vertical="center" wrapText="1"/>
    </xf>
    <xf numFmtId="172" fontId="25" fillId="0" borderId="53" xfId="0" applyNumberFormat="1" applyFont="1" applyBorder="1" applyAlignment="1">
      <alignment horizontal="center" vertical="center" wrapText="1"/>
    </xf>
    <xf numFmtId="172" fontId="25" fillId="0" borderId="53" xfId="0" applyNumberFormat="1" applyFont="1" applyBorder="1" applyAlignment="1">
      <alignment vertical="center"/>
    </xf>
    <xf numFmtId="14" fontId="25" fillId="0" borderId="53" xfId="0" applyNumberFormat="1" applyFont="1" applyBorder="1" applyAlignment="1">
      <alignment horizontal="center" vertical="center" wrapText="1"/>
    </xf>
    <xf numFmtId="0" fontId="8" fillId="0" borderId="53" xfId="0" applyFont="1" applyBorder="1" applyAlignment="1">
      <alignment horizontal="center" vertical="center" wrapText="1"/>
    </xf>
    <xf numFmtId="49" fontId="25" fillId="0" borderId="53" xfId="0" applyNumberFormat="1" applyFont="1" applyBorder="1" applyAlignment="1">
      <alignment horizontal="center" vertical="center" wrapText="1"/>
    </xf>
    <xf numFmtId="14" fontId="25" fillId="0" borderId="53" xfId="0" applyNumberFormat="1" applyFont="1" applyBorder="1" applyAlignment="1">
      <alignment horizontal="center" vertical="center"/>
    </xf>
    <xf numFmtId="1" fontId="25" fillId="0" borderId="53" xfId="0" applyNumberFormat="1" applyFont="1" applyBorder="1" applyAlignment="1">
      <alignment horizontal="center" vertical="center" wrapText="1"/>
    </xf>
    <xf numFmtId="9" fontId="25" fillId="0" borderId="53" xfId="0" applyNumberFormat="1" applyFont="1" applyBorder="1" applyAlignment="1">
      <alignment horizontal="center" vertical="center"/>
    </xf>
    <xf numFmtId="0" fontId="8" fillId="0" borderId="53" xfId="0" applyFont="1" applyBorder="1" applyAlignment="1">
      <alignment horizontal="right" vertical="center" wrapText="1"/>
    </xf>
    <xf numFmtId="3" fontId="25" fillId="0" borderId="53" xfId="0" applyNumberFormat="1" applyFont="1" applyBorder="1" applyAlignment="1">
      <alignment horizontal="center" vertical="center"/>
    </xf>
    <xf numFmtId="187" fontId="25" fillId="0" borderId="53" xfId="0" applyNumberFormat="1" applyFont="1" applyBorder="1" applyAlignment="1">
      <alignment horizontal="center" vertical="center"/>
    </xf>
    <xf numFmtId="3" fontId="31" fillId="0" borderId="53" xfId="0" applyNumberFormat="1" applyFont="1" applyBorder="1" applyAlignment="1">
      <alignment vertical="center"/>
    </xf>
    <xf numFmtId="172" fontId="31" fillId="0" borderId="53" xfId="0" applyNumberFormat="1" applyFont="1" applyBorder="1" applyAlignment="1">
      <alignment vertical="center"/>
    </xf>
    <xf numFmtId="0" fontId="25" fillId="0" borderId="53" xfId="0" applyFont="1" applyBorder="1" applyAlignment="1">
      <alignment horizontal="justify" vertical="center" wrapText="1"/>
    </xf>
    <xf numFmtId="9" fontId="8" fillId="0" borderId="53" xfId="0" applyNumberFormat="1" applyFont="1" applyBorder="1" applyAlignment="1">
      <alignment vertical="center"/>
    </xf>
    <xf numFmtId="9" fontId="25" fillId="0" borderId="53" xfId="79" applyFont="1" applyFill="1" applyBorder="1" applyAlignment="1">
      <alignment horizontal="center" vertical="center"/>
    </xf>
    <xf numFmtId="172" fontId="25" fillId="0" borderId="53" xfId="63" applyNumberFormat="1" applyFont="1" applyFill="1" applyBorder="1" applyAlignment="1">
      <alignment horizontal="center" vertical="center"/>
    </xf>
    <xf numFmtId="172" fontId="25" fillId="0" borderId="53" xfId="0" applyNumberFormat="1" applyFont="1" applyBorder="1" applyAlignment="1">
      <alignment vertical="center" wrapText="1"/>
    </xf>
    <xf numFmtId="0" fontId="70" fillId="0" borderId="53" xfId="0" applyFont="1" applyBorder="1" applyAlignment="1">
      <alignment horizontal="right" vertical="center" wrapText="1"/>
    </xf>
    <xf numFmtId="172" fontId="2" fillId="0" borderId="53" xfId="0" applyNumberFormat="1" applyFont="1" applyBorder="1" applyAlignment="1">
      <alignment vertical="center" wrapText="1"/>
    </xf>
    <xf numFmtId="0" fontId="2" fillId="0" borderId="53" xfId="0" applyFont="1" applyBorder="1" applyAlignment="1">
      <alignment horizontal="right" vertical="center" wrapText="1"/>
    </xf>
    <xf numFmtId="3" fontId="25" fillId="0" borderId="53" xfId="0" applyNumberFormat="1" applyFont="1" applyBorder="1" applyAlignment="1">
      <alignment vertical="center"/>
    </xf>
    <xf numFmtId="1" fontId="25" fillId="0" borderId="53" xfId="63" applyNumberFormat="1" applyFont="1" applyFill="1" applyBorder="1" applyAlignment="1">
      <alignment horizontal="center" vertical="center"/>
    </xf>
    <xf numFmtId="9" fontId="25" fillId="0" borderId="53" xfId="63" applyFont="1" applyFill="1" applyBorder="1" applyAlignment="1">
      <alignment horizontal="center" vertical="center"/>
    </xf>
    <xf numFmtId="9" fontId="31" fillId="0" borderId="53" xfId="63" applyFont="1" applyFill="1" applyBorder="1" applyAlignment="1">
      <alignment vertical="center"/>
    </xf>
    <xf numFmtId="9" fontId="11" fillId="0" borderId="53" xfId="63" applyFont="1" applyFill="1" applyBorder="1" applyAlignment="1">
      <alignment vertical="center" wrapText="1"/>
    </xf>
    <xf numFmtId="1" fontId="2" fillId="0" borderId="53" xfId="0" applyNumberFormat="1" applyFont="1" applyBorder="1" applyAlignment="1">
      <alignment horizontal="center" vertical="center" wrapText="1"/>
    </xf>
    <xf numFmtId="3" fontId="2" fillId="0" borderId="53" xfId="0" applyNumberFormat="1" applyFont="1" applyBorder="1" applyAlignment="1">
      <alignment vertical="center"/>
    </xf>
    <xf numFmtId="3" fontId="8" fillId="0" borderId="53" xfId="0" applyNumberFormat="1" applyFont="1" applyBorder="1" applyAlignment="1">
      <alignment horizontal="center" vertical="center" wrapText="1"/>
    </xf>
    <xf numFmtId="172" fontId="2" fillId="0" borderId="53" xfId="0" applyNumberFormat="1" applyFont="1" applyBorder="1" applyAlignment="1">
      <alignment vertical="center"/>
    </xf>
    <xf numFmtId="0" fontId="2" fillId="0" borderId="53" xfId="0" applyFont="1" applyBorder="1" applyAlignment="1">
      <alignment vertical="center" wrapText="1"/>
    </xf>
    <xf numFmtId="9" fontId="25" fillId="0" borderId="53" xfId="65" applyFont="1" applyFill="1" applyBorder="1" applyAlignment="1">
      <alignment horizontal="left" vertical="center" wrapText="1"/>
    </xf>
    <xf numFmtId="0" fontId="11" fillId="0" borderId="53" xfId="0" applyFont="1" applyBorder="1" applyAlignment="1">
      <alignment horizontal="left" vertical="center"/>
    </xf>
    <xf numFmtId="1" fontId="25" fillId="0" borderId="53" xfId="0" applyNumberFormat="1" applyFont="1" applyBorder="1" applyAlignment="1">
      <alignment horizontal="center" vertical="center"/>
    </xf>
    <xf numFmtId="0" fontId="11" fillId="0" borderId="53" xfId="0" applyFont="1" applyBorder="1" applyAlignment="1">
      <alignment vertical="center" wrapText="1"/>
    </xf>
    <xf numFmtId="0" fontId="25" fillId="4" borderId="53" xfId="0" applyFont="1" applyFill="1" applyBorder="1" applyAlignment="1">
      <alignment horizontal="center" vertical="center" wrapText="1"/>
    </xf>
    <xf numFmtId="0" fontId="25" fillId="4" borderId="53" xfId="0" applyFont="1" applyFill="1" applyBorder="1" applyAlignment="1">
      <alignment horizontal="left" vertical="center" wrapText="1"/>
    </xf>
    <xf numFmtId="3" fontId="31" fillId="4" borderId="53" xfId="0" applyNumberFormat="1" applyFont="1" applyFill="1" applyBorder="1" applyAlignment="1">
      <alignment vertical="center" wrapText="1"/>
    </xf>
    <xf numFmtId="172" fontId="31" fillId="4" borderId="53" xfId="0" applyNumberFormat="1" applyFont="1" applyFill="1" applyBorder="1" applyAlignment="1">
      <alignment vertical="center" wrapText="1"/>
    </xf>
    <xf numFmtId="9" fontId="25" fillId="0" borderId="53" xfId="65" applyFont="1" applyFill="1" applyBorder="1" applyAlignment="1">
      <alignment horizontal="center" vertical="center"/>
    </xf>
    <xf numFmtId="9" fontId="25" fillId="0" borderId="53" xfId="65" applyFont="1" applyFill="1" applyBorder="1" applyAlignment="1">
      <alignment horizontal="center" vertical="center" wrapText="1"/>
    </xf>
    <xf numFmtId="1" fontId="25" fillId="0" borderId="53" xfId="65" applyNumberFormat="1" applyFont="1" applyFill="1" applyBorder="1" applyAlignment="1">
      <alignment horizontal="center" vertical="center"/>
    </xf>
    <xf numFmtId="190" fontId="25" fillId="0" borderId="53" xfId="0" applyNumberFormat="1" applyFont="1" applyBorder="1" applyAlignment="1">
      <alignment horizontal="center" vertical="center"/>
    </xf>
    <xf numFmtId="185" fontId="25" fillId="0" borderId="53" xfId="0" applyNumberFormat="1" applyFont="1" applyBorder="1" applyAlignment="1">
      <alignment horizontal="center" vertical="center"/>
    </xf>
    <xf numFmtId="185" fontId="25" fillId="0" borderId="53" xfId="65" applyNumberFormat="1" applyFont="1" applyFill="1" applyBorder="1" applyAlignment="1">
      <alignment horizontal="center" vertical="center"/>
    </xf>
    <xf numFmtId="0" fontId="8" fillId="0" borderId="53" xfId="0" applyFont="1" applyBorder="1" applyAlignment="1">
      <alignment horizontal="center" vertical="center"/>
    </xf>
    <xf numFmtId="0" fontId="13" fillId="0" borderId="53" xfId="0" applyFont="1" applyBorder="1" applyAlignment="1">
      <alignment horizontal="center" vertical="center" wrapText="1"/>
    </xf>
    <xf numFmtId="3" fontId="73" fillId="0" borderId="53" xfId="0" applyNumberFormat="1" applyFont="1" applyBorder="1" applyAlignment="1">
      <alignment vertical="center"/>
    </xf>
    <xf numFmtId="172" fontId="73" fillId="0" borderId="53" xfId="0" applyNumberFormat="1" applyFont="1" applyBorder="1" applyAlignment="1">
      <alignment vertical="center"/>
    </xf>
    <xf numFmtId="3" fontId="8" fillId="0" borderId="53" xfId="0" applyNumberFormat="1" applyFont="1" applyBorder="1" applyAlignment="1">
      <alignment vertical="center" wrapText="1"/>
    </xf>
    <xf numFmtId="172" fontId="8" fillId="0" borderId="53" xfId="0" applyNumberFormat="1" applyFont="1" applyBorder="1" applyAlignment="1">
      <alignment horizontal="center" vertical="center" wrapText="1"/>
    </xf>
    <xf numFmtId="172" fontId="8" fillId="0" borderId="53" xfId="0" applyNumberFormat="1" applyFont="1" applyBorder="1" applyAlignment="1">
      <alignment vertical="center"/>
    </xf>
    <xf numFmtId="14" fontId="8" fillId="0" borderId="53" xfId="0" applyNumberFormat="1" applyFont="1" applyBorder="1" applyAlignment="1">
      <alignment horizontal="center" vertical="center" wrapText="1"/>
    </xf>
    <xf numFmtId="14" fontId="8" fillId="0" borderId="53" xfId="0" applyNumberFormat="1" applyFont="1" applyBorder="1" applyAlignment="1">
      <alignment horizontal="justify" vertical="center" wrapText="1"/>
    </xf>
    <xf numFmtId="14" fontId="8" fillId="0" borderId="53" xfId="0" applyNumberFormat="1" applyFont="1" applyBorder="1" applyAlignment="1">
      <alignment horizontal="right" vertical="center" wrapText="1"/>
    </xf>
    <xf numFmtId="3" fontId="25" fillId="0" borderId="53" xfId="0" applyNumberFormat="1" applyFont="1" applyBorder="1" applyAlignment="1">
      <alignment horizontal="justify" vertical="center" wrapText="1"/>
    </xf>
    <xf numFmtId="3" fontId="70" fillId="0" borderId="53" xfId="0" applyNumberFormat="1" applyFont="1" applyBorder="1" applyAlignment="1">
      <alignment vertical="center"/>
    </xf>
    <xf numFmtId="0" fontId="103" fillId="0" borderId="53" xfId="0" applyFont="1" applyBorder="1" applyAlignment="1">
      <alignment horizontal="left" vertical="center" wrapText="1"/>
    </xf>
    <xf numFmtId="0" fontId="25" fillId="0" borderId="54" xfId="0" applyFont="1" applyBorder="1" applyAlignment="1">
      <alignment horizontal="center" vertical="center"/>
    </xf>
    <xf numFmtId="0" fontId="25" fillId="0" borderId="54" xfId="0" applyFont="1" applyBorder="1" applyAlignment="1">
      <alignment horizontal="center" vertical="center" wrapText="1"/>
    </xf>
    <xf numFmtId="0" fontId="25" fillId="0" borderId="54" xfId="0" applyFont="1" applyBorder="1" applyAlignment="1">
      <alignment horizontal="left" vertical="center" wrapText="1"/>
    </xf>
    <xf numFmtId="3" fontId="31" fillId="0" borderId="54" xfId="0" applyNumberFormat="1" applyFont="1" applyBorder="1" applyAlignment="1">
      <alignment vertical="center"/>
    </xf>
    <xf numFmtId="172" fontId="31" fillId="0" borderId="54" xfId="0" applyNumberFormat="1" applyFont="1" applyBorder="1" applyAlignment="1">
      <alignment vertical="center"/>
    </xf>
    <xf numFmtId="3" fontId="11" fillId="0" borderId="54" xfId="0" applyNumberFormat="1" applyFont="1" applyBorder="1" applyAlignment="1">
      <alignment vertical="center"/>
    </xf>
    <xf numFmtId="172" fontId="25" fillId="0" borderId="54" xfId="0" applyNumberFormat="1" applyFont="1" applyBorder="1" applyAlignment="1">
      <alignment vertical="center"/>
    </xf>
    <xf numFmtId="14" fontId="25" fillId="0" borderId="54" xfId="0" applyNumberFormat="1" applyFont="1" applyBorder="1" applyAlignment="1">
      <alignment horizontal="center" vertical="center" wrapText="1"/>
    </xf>
    <xf numFmtId="14" fontId="25" fillId="0" borderId="54" xfId="0" applyNumberFormat="1" applyFont="1" applyBorder="1" applyAlignment="1">
      <alignment horizontal="justify" vertical="center" wrapText="1"/>
    </xf>
    <xf numFmtId="0" fontId="72" fillId="0" borderId="0" xfId="0" applyFont="1" applyAlignment="1">
      <alignment horizontal="center" vertical="center"/>
    </xf>
    <xf numFmtId="0" fontId="72" fillId="0" borderId="0" xfId="0" applyFont="1" applyAlignment="1">
      <alignment vertical="center"/>
    </xf>
    <xf numFmtId="0" fontId="75" fillId="0" borderId="0" xfId="0" applyFont="1" applyAlignment="1">
      <alignment horizontal="center" vertical="center"/>
    </xf>
    <xf numFmtId="0" fontId="75" fillId="0" borderId="0" xfId="0" applyFont="1" applyAlignment="1">
      <alignment vertical="center"/>
    </xf>
    <xf numFmtId="0" fontId="75" fillId="0" borderId="0" xfId="0" applyFont="1" applyAlignment="1">
      <alignment horizontal="left" vertical="center"/>
    </xf>
    <xf numFmtId="3" fontId="72" fillId="0" borderId="0" xfId="0" applyNumberFormat="1" applyFont="1" applyAlignment="1">
      <alignment horizontal="center" vertical="center"/>
    </xf>
    <xf numFmtId="172" fontId="72" fillId="0" borderId="0" xfId="0" applyNumberFormat="1" applyFont="1" applyAlignment="1">
      <alignment vertical="center"/>
    </xf>
    <xf numFmtId="0" fontId="2" fillId="0" borderId="0" xfId="0" applyFont="1" applyAlignment="1">
      <alignment horizontal="center" vertical="center" wrapText="1"/>
    </xf>
    <xf numFmtId="0" fontId="73" fillId="0" borderId="0" xfId="0" applyFont="1" applyAlignment="1">
      <alignment horizontal="center" vertical="center"/>
    </xf>
    <xf numFmtId="0" fontId="73" fillId="0" borderId="0" xfId="0" applyFont="1" applyAlignment="1">
      <alignment vertical="center"/>
    </xf>
    <xf numFmtId="3" fontId="8" fillId="0" borderId="0" xfId="44" applyNumberFormat="1" applyFont="1" applyAlignment="1">
      <alignment horizontal="center" vertical="center"/>
    </xf>
    <xf numFmtId="0" fontId="77" fillId="0" borderId="0" xfId="0" applyFont="1" applyAlignment="1">
      <alignment horizontal="center" vertical="center"/>
    </xf>
    <xf numFmtId="0" fontId="77" fillId="0" borderId="0" xfId="0" applyFont="1" applyAlignment="1">
      <alignment vertical="center"/>
    </xf>
    <xf numFmtId="0" fontId="77" fillId="0" borderId="0" xfId="0" applyFont="1" applyAlignment="1">
      <alignment horizontal="left" vertical="center"/>
    </xf>
    <xf numFmtId="172" fontId="8" fillId="0" borderId="0" xfId="44" applyNumberFormat="1" applyFont="1" applyAlignment="1">
      <alignment horizontal="center" vertical="center"/>
    </xf>
    <xf numFmtId="3" fontId="73" fillId="0" borderId="0" xfId="0" applyNumberFormat="1" applyFont="1" applyAlignment="1">
      <alignment vertical="center"/>
    </xf>
    <xf numFmtId="172" fontId="73" fillId="0" borderId="0" xfId="0" applyNumberFormat="1" applyFont="1" applyAlignment="1">
      <alignment vertical="center"/>
    </xf>
    <xf numFmtId="14" fontId="77" fillId="0" borderId="0" xfId="0" applyNumberFormat="1" applyFont="1" applyAlignment="1">
      <alignment horizontal="left" vertical="center" wrapText="1"/>
    </xf>
    <xf numFmtId="0" fontId="31" fillId="0" borderId="53" xfId="0" applyFont="1" applyBorder="1" applyAlignment="1">
      <alignment horizontal="justify" vertical="center" wrapText="1"/>
    </xf>
    <xf numFmtId="3" fontId="11" fillId="0" borderId="54" xfId="0" applyNumberFormat="1" applyFont="1" applyBorder="1" applyAlignment="1">
      <alignment vertical="center" wrapText="1"/>
    </xf>
    <xf numFmtId="172" fontId="11" fillId="0" borderId="54" xfId="0" applyNumberFormat="1" applyFont="1" applyBorder="1" applyAlignment="1">
      <alignment vertical="center"/>
    </xf>
    <xf numFmtId="0" fontId="25" fillId="0" borderId="10" xfId="0" applyFont="1" applyBorder="1" applyAlignment="1">
      <alignment horizontal="center" vertical="center"/>
    </xf>
    <xf numFmtId="0" fontId="25" fillId="0" borderId="10" xfId="0" applyFont="1" applyBorder="1" applyAlignment="1">
      <alignment horizontal="center" vertical="center" wrapText="1"/>
    </xf>
    <xf numFmtId="0" fontId="25" fillId="0" borderId="30" xfId="44" applyFont="1" applyBorder="1" applyAlignment="1">
      <alignment horizontal="left" vertical="center"/>
    </xf>
    <xf numFmtId="0" fontId="31" fillId="0" borderId="31" xfId="0" applyFont="1" applyBorder="1" applyAlignment="1">
      <alignment horizontal="left" vertical="center" wrapText="1"/>
    </xf>
    <xf numFmtId="0" fontId="3" fillId="0" borderId="30" xfId="0" applyFont="1" applyBorder="1" applyAlignment="1">
      <alignment vertical="center"/>
    </xf>
    <xf numFmtId="0" fontId="31" fillId="6" borderId="30" xfId="0" applyFont="1" applyFill="1" applyBorder="1" applyAlignment="1">
      <alignment horizontal="left" vertical="center" wrapText="1"/>
    </xf>
    <xf numFmtId="172" fontId="39" fillId="0" borderId="10" xfId="63" applyNumberFormat="1" applyFont="1" applyFill="1" applyBorder="1" applyAlignment="1">
      <alignment horizontal="left" vertical="center" wrapText="1"/>
    </xf>
    <xf numFmtId="172" fontId="39" fillId="0" borderId="10" xfId="63" applyNumberFormat="1" applyFont="1" applyFill="1" applyBorder="1" applyAlignment="1">
      <alignment horizontal="right" vertical="center" wrapText="1"/>
    </xf>
    <xf numFmtId="41" fontId="39" fillId="0" borderId="10" xfId="87" applyFont="1" applyBorder="1" applyAlignment="1">
      <alignment vertical="center"/>
    </xf>
    <xf numFmtId="172" fontId="39" fillId="0" borderId="10" xfId="63" applyNumberFormat="1" applyFont="1" applyBorder="1" applyAlignment="1">
      <alignment vertical="center"/>
    </xf>
    <xf numFmtId="172" fontId="39" fillId="0" borderId="10" xfId="63" applyNumberFormat="1" applyFont="1" applyFill="1" applyBorder="1" applyAlignment="1">
      <alignment vertical="center"/>
    </xf>
    <xf numFmtId="0" fontId="39" fillId="0" borderId="0" xfId="0" applyFont="1" applyAlignment="1">
      <alignment horizontal="center" vertical="top"/>
    </xf>
    <xf numFmtId="0" fontId="39" fillId="0" borderId="0" xfId="0" applyFont="1" applyAlignment="1">
      <alignment vertical="top"/>
    </xf>
    <xf numFmtId="0" fontId="39" fillId="0" borderId="0" xfId="0" applyFont="1"/>
    <xf numFmtId="0" fontId="39" fillId="0" borderId="0" xfId="0" applyFont="1" applyAlignment="1">
      <alignment horizontal="center"/>
    </xf>
    <xf numFmtId="0" fontId="39" fillId="0" borderId="0" xfId="0" applyFont="1" applyAlignment="1">
      <alignment horizontal="left" vertical="top"/>
    </xf>
    <xf numFmtId="172" fontId="39" fillId="0" borderId="0" xfId="63" applyNumberFormat="1" applyFont="1" applyFill="1"/>
    <xf numFmtId="0" fontId="39" fillId="0" borderId="0" xfId="0" applyFont="1" applyAlignment="1">
      <alignment vertical="top" wrapText="1"/>
    </xf>
    <xf numFmtId="172" fontId="39" fillId="0" borderId="0" xfId="63" applyNumberFormat="1" applyFont="1" applyFill="1" applyAlignment="1">
      <alignment horizontal="right"/>
    </xf>
    <xf numFmtId="172" fontId="39" fillId="0" borderId="0" xfId="63" applyNumberFormat="1" applyFont="1" applyBorder="1" applyAlignment="1">
      <alignment horizontal="center" vertical="center"/>
    </xf>
    <xf numFmtId="41" fontId="39" fillId="0" borderId="0" xfId="0" applyNumberFormat="1" applyFont="1"/>
    <xf numFmtId="172" fontId="39" fillId="0" borderId="0" xfId="63" applyNumberFormat="1" applyFont="1" applyBorder="1" applyAlignment="1">
      <alignment vertical="center"/>
    </xf>
    <xf numFmtId="41" fontId="39" fillId="0" borderId="0" xfId="87" applyFont="1"/>
    <xf numFmtId="0" fontId="0" fillId="0" borderId="10" xfId="0" applyBorder="1"/>
    <xf numFmtId="172" fontId="31" fillId="0" borderId="10" xfId="63" applyNumberFormat="1" applyFont="1" applyFill="1" applyBorder="1" applyAlignment="1">
      <alignment horizontal="right" vertical="center" wrapText="1"/>
    </xf>
    <xf numFmtId="41" fontId="31" fillId="0" borderId="10" xfId="87" applyFont="1" applyBorder="1" applyAlignment="1">
      <alignment vertical="center"/>
    </xf>
    <xf numFmtId="172" fontId="31" fillId="0" borderId="10" xfId="63" applyNumberFormat="1" applyFont="1" applyBorder="1" applyAlignment="1">
      <alignment vertical="center"/>
    </xf>
    <xf numFmtId="41" fontId="31" fillId="0" borderId="10" xfId="87" applyFont="1" applyBorder="1" applyAlignment="1">
      <alignment horizontal="center" vertical="center"/>
    </xf>
    <xf numFmtId="1" fontId="31" fillId="0" borderId="10" xfId="87" applyNumberFormat="1" applyFont="1" applyBorder="1" applyAlignment="1">
      <alignment vertical="center"/>
    </xf>
    <xf numFmtId="172" fontId="30" fillId="0" borderId="10" xfId="63" applyNumberFormat="1" applyFont="1" applyFill="1" applyBorder="1" applyAlignment="1">
      <alignment vertical="center"/>
    </xf>
    <xf numFmtId="172" fontId="32" fillId="0" borderId="18" xfId="63" applyNumberFormat="1" applyFont="1" applyFill="1" applyBorder="1" applyAlignment="1">
      <alignment horizontal="left" vertical="center" wrapText="1"/>
    </xf>
    <xf numFmtId="172" fontId="32" fillId="0" borderId="10" xfId="63" applyNumberFormat="1" applyFont="1" applyFill="1" applyBorder="1" applyAlignment="1">
      <alignment horizontal="left" vertical="center" wrapText="1"/>
    </xf>
    <xf numFmtId="172" fontId="32" fillId="0" borderId="10" xfId="63" applyNumberFormat="1" applyFont="1" applyFill="1" applyBorder="1" applyAlignment="1">
      <alignment vertical="center"/>
    </xf>
    <xf numFmtId="0" fontId="33" fillId="0" borderId="10" xfId="0" applyFont="1" applyBorder="1" applyAlignment="1">
      <alignment vertical="center" wrapText="1"/>
    </xf>
    <xf numFmtId="172" fontId="30" fillId="0" borderId="10" xfId="63" applyNumberFormat="1" applyFont="1" applyFill="1" applyBorder="1" applyAlignment="1">
      <alignment horizontal="right" vertical="center" wrapText="1"/>
    </xf>
    <xf numFmtId="1" fontId="31" fillId="0" borderId="10" xfId="0" applyNumberFormat="1" applyFont="1" applyBorder="1" applyAlignment="1">
      <alignment horizontal="center" vertical="center" wrapText="1"/>
    </xf>
    <xf numFmtId="14" fontId="31" fillId="0" borderId="10" xfId="0" applyNumberFormat="1" applyFont="1" applyBorder="1" applyAlignment="1">
      <alignment vertical="center"/>
    </xf>
    <xf numFmtId="41" fontId="31" fillId="0" borderId="10" xfId="87" applyFont="1" applyBorder="1" applyAlignment="1">
      <alignment vertical="center" wrapText="1"/>
    </xf>
    <xf numFmtId="1" fontId="31" fillId="0" borderId="10" xfId="87" applyNumberFormat="1" applyFont="1" applyBorder="1" applyAlignment="1">
      <alignment horizontal="center" vertical="center"/>
    </xf>
    <xf numFmtId="172" fontId="31" fillId="0" borderId="10" xfId="63" applyNumberFormat="1" applyFont="1" applyFill="1" applyBorder="1" applyAlignment="1">
      <alignment vertical="center"/>
    </xf>
    <xf numFmtId="41" fontId="31" fillId="0" borderId="10" xfId="87" applyFont="1" applyBorder="1" applyAlignment="1">
      <alignment horizontal="center" vertical="center" wrapText="1"/>
    </xf>
    <xf numFmtId="0" fontId="31" fillId="0" borderId="19" xfId="0" applyFont="1" applyBorder="1" applyAlignment="1">
      <alignment vertical="center"/>
    </xf>
    <xf numFmtId="172" fontId="31" fillId="0" borderId="19" xfId="63" applyNumberFormat="1" applyFont="1" applyBorder="1" applyAlignment="1">
      <alignment vertical="center"/>
    </xf>
    <xf numFmtId="172" fontId="31" fillId="0" borderId="19" xfId="63" applyNumberFormat="1" applyFont="1" applyFill="1" applyBorder="1" applyAlignment="1">
      <alignment vertical="center"/>
    </xf>
    <xf numFmtId="41" fontId="31" fillId="0" borderId="19" xfId="87" applyFont="1" applyBorder="1" applyAlignment="1">
      <alignment vertical="center"/>
    </xf>
    <xf numFmtId="14" fontId="31" fillId="0" borderId="19" xfId="0" applyNumberFormat="1" applyFont="1" applyBorder="1" applyAlignment="1">
      <alignment vertical="center"/>
    </xf>
    <xf numFmtId="0" fontId="8" fillId="0" borderId="30" xfId="49" applyFont="1" applyBorder="1" applyAlignment="1">
      <alignment horizontal="center" vertical="center" wrapText="1"/>
    </xf>
    <xf numFmtId="0" fontId="6" fillId="0" borderId="30" xfId="44" applyFont="1" applyBorder="1" applyAlignment="1">
      <alignment horizontal="center" vertical="center"/>
    </xf>
    <xf numFmtId="0" fontId="6" fillId="0" borderId="30" xfId="44" applyFont="1" applyBorder="1" applyAlignment="1">
      <alignment vertical="center"/>
    </xf>
    <xf numFmtId="1" fontId="8" fillId="0" borderId="30" xfId="44" quotePrefix="1" applyNumberFormat="1" applyFont="1" applyBorder="1" applyAlignment="1">
      <alignment horizontal="center" vertical="center" wrapText="1"/>
    </xf>
    <xf numFmtId="1" fontId="8" fillId="0" borderId="30" xfId="44" applyNumberFormat="1" applyFont="1" applyBorder="1" applyAlignment="1">
      <alignment horizontal="center" vertical="center" wrapText="1"/>
    </xf>
    <xf numFmtId="14" fontId="25" fillId="0" borderId="30" xfId="44" applyNumberFormat="1" applyFont="1" applyBorder="1" applyAlignment="1">
      <alignment horizontal="center" vertical="center"/>
    </xf>
    <xf numFmtId="0" fontId="25" fillId="0" borderId="10" xfId="0" applyFont="1" applyBorder="1" applyAlignment="1">
      <alignment vertical="center" wrapText="1"/>
    </xf>
    <xf numFmtId="3" fontId="8" fillId="0" borderId="10" xfId="0" applyNumberFormat="1" applyFont="1" applyBorder="1" applyAlignment="1">
      <alignment horizontal="center" vertical="center" wrapText="1"/>
    </xf>
    <xf numFmtId="1" fontId="25" fillId="0" borderId="10" xfId="0" applyNumberFormat="1" applyFont="1" applyBorder="1" applyAlignment="1">
      <alignment horizontal="right" vertical="center"/>
    </xf>
    <xf numFmtId="14" fontId="25" fillId="0" borderId="30" xfId="44" applyNumberFormat="1" applyFont="1" applyBorder="1" applyAlignment="1">
      <alignment horizontal="left" vertical="center"/>
    </xf>
    <xf numFmtId="0" fontId="25" fillId="0" borderId="30" xfId="44" applyFont="1" applyBorder="1" applyAlignment="1">
      <alignment horizontal="justify" vertical="center"/>
    </xf>
    <xf numFmtId="3" fontId="25" fillId="0" borderId="30" xfId="86" applyNumberFormat="1" applyFont="1" applyFill="1" applyBorder="1" applyAlignment="1">
      <alignment horizontal="center" vertical="center"/>
    </xf>
    <xf numFmtId="0" fontId="25" fillId="0" borderId="30" xfId="40" applyFont="1" applyBorder="1" applyAlignment="1">
      <alignment horizontal="justify" vertical="center" wrapText="1"/>
    </xf>
    <xf numFmtId="0" fontId="25" fillId="0" borderId="30" xfId="40" applyFont="1" applyBorder="1" applyAlignment="1">
      <alignment horizontal="justify" vertical="center"/>
    </xf>
    <xf numFmtId="0" fontId="2" fillId="0" borderId="30" xfId="40" applyFont="1" applyBorder="1" applyAlignment="1">
      <alignment vertical="center" wrapText="1"/>
    </xf>
    <xf numFmtId="3" fontId="25" fillId="0" borderId="30" xfId="40" applyNumberFormat="1" applyFont="1" applyBorder="1" applyAlignment="1">
      <alignment horizontal="right" vertical="center"/>
    </xf>
    <xf numFmtId="9" fontId="25" fillId="0" borderId="30" xfId="66" applyFont="1" applyFill="1" applyBorder="1" applyAlignment="1">
      <alignment horizontal="right" vertical="center"/>
    </xf>
    <xf numFmtId="1" fontId="25" fillId="0" borderId="30" xfId="66" applyNumberFormat="1" applyFont="1" applyFill="1" applyBorder="1" applyAlignment="1">
      <alignment horizontal="right" vertical="center"/>
    </xf>
    <xf numFmtId="14" fontId="25" fillId="0" borderId="30" xfId="40" applyNumberFormat="1" applyFont="1" applyBorder="1" applyAlignment="1">
      <alignment horizontal="center" vertical="center"/>
    </xf>
    <xf numFmtId="14" fontId="25" fillId="0" borderId="30" xfId="44" applyNumberFormat="1" applyFont="1" applyBorder="1" applyAlignment="1">
      <alignment horizontal="left" vertical="center" wrapText="1"/>
    </xf>
    <xf numFmtId="3" fontId="25" fillId="0" borderId="30" xfId="10" applyNumberFormat="1" applyFont="1" applyFill="1" applyBorder="1" applyAlignment="1">
      <alignment horizontal="right" vertical="center"/>
    </xf>
    <xf numFmtId="0" fontId="8" fillId="0" borderId="30" xfId="40" applyFont="1" applyBorder="1" applyAlignment="1">
      <alignment vertical="center" wrapText="1"/>
    </xf>
    <xf numFmtId="3" fontId="8" fillId="0" borderId="30" xfId="75" applyNumberFormat="1" applyFont="1" applyBorder="1" applyAlignment="1">
      <alignment vertical="center" wrapText="1"/>
    </xf>
    <xf numFmtId="3" fontId="25" fillId="0" borderId="30" xfId="75" applyNumberFormat="1" applyFont="1" applyBorder="1" applyAlignment="1">
      <alignment horizontal="justify" vertical="center" wrapText="1"/>
    </xf>
    <xf numFmtId="0" fontId="25" fillId="0" borderId="30" xfId="44" applyFont="1" applyBorder="1" applyAlignment="1">
      <alignment horizontal="justify" vertical="top" wrapText="1"/>
    </xf>
    <xf numFmtId="9" fontId="25" fillId="0" borderId="30" xfId="63" applyFont="1" applyFill="1" applyBorder="1" applyAlignment="1">
      <alignment vertical="center"/>
    </xf>
    <xf numFmtId="1" fontId="25" fillId="0" borderId="30" xfId="63" applyNumberFormat="1" applyFont="1" applyFill="1" applyBorder="1" applyAlignment="1">
      <alignment vertical="center"/>
    </xf>
    <xf numFmtId="14" fontId="31" fillId="0" borderId="30" xfId="0" applyNumberFormat="1" applyFont="1" applyBorder="1" applyAlignment="1">
      <alignment horizontal="center" vertical="center"/>
    </xf>
    <xf numFmtId="0" fontId="31" fillId="0" borderId="0" xfId="0" applyFont="1" applyAlignment="1">
      <alignment horizontal="center" vertical="center"/>
    </xf>
    <xf numFmtId="1" fontId="25" fillId="0" borderId="30" xfId="44" applyNumberFormat="1" applyFont="1" applyBorder="1" applyAlignment="1">
      <alignment vertical="center" wrapText="1"/>
    </xf>
    <xf numFmtId="14" fontId="25" fillId="0" borderId="30" xfId="0" applyNumberFormat="1" applyFont="1" applyBorder="1" applyAlignment="1">
      <alignment vertical="center"/>
    </xf>
    <xf numFmtId="0" fontId="25" fillId="0" borderId="30" xfId="45" applyFont="1" applyBorder="1" applyAlignment="1">
      <alignment horizontal="center" vertical="center"/>
    </xf>
    <xf numFmtId="41" fontId="25" fillId="0" borderId="30" xfId="87" applyFont="1" applyFill="1" applyBorder="1" applyAlignment="1">
      <alignment vertical="center"/>
    </xf>
    <xf numFmtId="41" fontId="2" fillId="0" borderId="30" xfId="87" applyFont="1" applyFill="1" applyBorder="1" applyAlignment="1">
      <alignment vertical="center"/>
    </xf>
    <xf numFmtId="0" fontId="8" fillId="0" borderId="42" xfId="49" applyFont="1" applyBorder="1" applyAlignment="1">
      <alignment horizontal="center" vertical="center" wrapText="1"/>
    </xf>
    <xf numFmtId="0" fontId="6" fillId="0" borderId="42" xfId="44" applyFont="1" applyBorder="1" applyAlignment="1">
      <alignment horizontal="center" vertical="center"/>
    </xf>
    <xf numFmtId="0" fontId="6" fillId="0" borderId="42" xfId="44" applyFont="1" applyBorder="1" applyAlignment="1">
      <alignment vertical="center"/>
    </xf>
    <xf numFmtId="0" fontId="3" fillId="0" borderId="42" xfId="0" applyFont="1" applyBorder="1" applyAlignment="1">
      <alignment horizontal="left" vertical="center" wrapText="1"/>
    </xf>
    <xf numFmtId="0" fontId="3" fillId="0" borderId="42" xfId="0" applyFont="1" applyBorder="1" applyAlignment="1">
      <alignment vertical="center"/>
    </xf>
    <xf numFmtId="0" fontId="3" fillId="0" borderId="42" xfId="0" applyFont="1" applyBorder="1" applyAlignment="1">
      <alignment vertical="center" wrapText="1"/>
    </xf>
    <xf numFmtId="0" fontId="3" fillId="0" borderId="42" xfId="0" applyFont="1" applyBorder="1" applyAlignment="1">
      <alignment horizontal="center" vertical="center"/>
    </xf>
    <xf numFmtId="0" fontId="3" fillId="0" borderId="42" xfId="0" applyFont="1" applyBorder="1" applyAlignment="1">
      <alignment horizontal="right" vertical="center"/>
    </xf>
    <xf numFmtId="1" fontId="3" fillId="0" borderId="42" xfId="0" applyNumberFormat="1" applyFont="1" applyBorder="1" applyAlignment="1">
      <alignment horizontal="right" vertical="center"/>
    </xf>
    <xf numFmtId="3" fontId="3" fillId="0" borderId="42" xfId="0" applyNumberFormat="1" applyFont="1" applyBorder="1" applyAlignment="1">
      <alignment horizontal="center" vertical="center" wrapText="1"/>
    </xf>
    <xf numFmtId="3" fontId="3" fillId="0" borderId="42" xfId="0" applyNumberFormat="1" applyFont="1" applyBorder="1" applyAlignment="1">
      <alignment vertical="center" wrapText="1"/>
    </xf>
    <xf numFmtId="0" fontId="12" fillId="0" borderId="42" xfId="0" applyFont="1" applyBorder="1" applyAlignment="1">
      <alignment horizontal="justify" vertical="center" wrapText="1"/>
    </xf>
    <xf numFmtId="0" fontId="3" fillId="0" borderId="30" xfId="0" applyFont="1" applyBorder="1" applyAlignment="1">
      <alignment horizontal="left" vertical="center" wrapText="1"/>
    </xf>
    <xf numFmtId="0" fontId="3" fillId="0" borderId="30" xfId="0" applyFont="1" applyBorder="1" applyAlignment="1">
      <alignment vertical="center" wrapText="1"/>
    </xf>
    <xf numFmtId="0" fontId="3" fillId="0" borderId="30" xfId="0" applyFont="1" applyBorder="1" applyAlignment="1">
      <alignment horizontal="center" vertical="center"/>
    </xf>
    <xf numFmtId="0" fontId="3" fillId="0" borderId="30" xfId="0" applyFont="1" applyBorder="1" applyAlignment="1">
      <alignment horizontal="right" vertical="center"/>
    </xf>
    <xf numFmtId="1" fontId="3" fillId="0" borderId="30" xfId="0" applyNumberFormat="1" applyFont="1" applyBorder="1" applyAlignment="1">
      <alignment horizontal="right" vertical="center"/>
    </xf>
    <xf numFmtId="3" fontId="3" fillId="0" borderId="30" xfId="0" applyNumberFormat="1" applyFont="1" applyBorder="1" applyAlignment="1">
      <alignment horizontal="center" vertical="center" wrapText="1"/>
    </xf>
    <xf numFmtId="3" fontId="3" fillId="0" borderId="30" xfId="0" applyNumberFormat="1" applyFont="1" applyBorder="1" applyAlignment="1">
      <alignment vertical="center" wrapText="1"/>
    </xf>
    <xf numFmtId="0" fontId="12" fillId="0" borderId="30" xfId="0" applyFont="1" applyBorder="1" applyAlignment="1">
      <alignment horizontal="justify" vertical="center" wrapText="1"/>
    </xf>
    <xf numFmtId="0" fontId="25" fillId="0" borderId="30" xfId="0" applyFont="1" applyBorder="1" applyAlignment="1">
      <alignment horizontal="center" vertical="center" wrapText="1"/>
    </xf>
    <xf numFmtId="9" fontId="25" fillId="0" borderId="30" xfId="0" applyNumberFormat="1" applyFont="1" applyBorder="1" applyAlignment="1">
      <alignment horizontal="right" vertical="center" wrapText="1"/>
    </xf>
    <xf numFmtId="1" fontId="25" fillId="0" borderId="30" xfId="0" applyNumberFormat="1" applyFont="1" applyBorder="1" applyAlignment="1">
      <alignment horizontal="right" vertical="center" wrapText="1"/>
    </xf>
    <xf numFmtId="14" fontId="25" fillId="0" borderId="30" xfId="44" applyNumberFormat="1" applyFont="1" applyBorder="1" applyAlignment="1">
      <alignment horizontal="justify" vertical="center"/>
    </xf>
    <xf numFmtId="0" fontId="3" fillId="0" borderId="30" xfId="0" applyFont="1" applyBorder="1" applyAlignment="1">
      <alignment horizontal="center" vertical="center" wrapText="1"/>
    </xf>
    <xf numFmtId="0" fontId="25" fillId="0" borderId="30" xfId="0" applyFont="1" applyBorder="1" applyAlignment="1">
      <alignment horizontal="right" vertical="center" wrapText="1"/>
    </xf>
    <xf numFmtId="3" fontId="8" fillId="0" borderId="30" xfId="0" applyNumberFormat="1" applyFont="1" applyBorder="1" applyAlignment="1">
      <alignment horizontal="center" vertical="center" wrapText="1"/>
    </xf>
    <xf numFmtId="14" fontId="25" fillId="0" borderId="30" xfId="0" applyNumberFormat="1" applyFont="1" applyBorder="1" applyAlignment="1">
      <alignment horizontal="center" vertical="center" wrapText="1"/>
    </xf>
    <xf numFmtId="14" fontId="25" fillId="0" borderId="30" xfId="0" applyNumberFormat="1" applyFont="1" applyBorder="1" applyAlignment="1">
      <alignment horizontal="justify" vertical="center" wrapText="1"/>
    </xf>
    <xf numFmtId="0" fontId="25" fillId="0" borderId="30" xfId="0" applyFont="1" applyBorder="1" applyAlignment="1">
      <alignment horizontal="right" vertical="center"/>
    </xf>
    <xf numFmtId="1" fontId="25" fillId="0" borderId="30" xfId="0" applyNumberFormat="1" applyFont="1" applyBorder="1" applyAlignment="1">
      <alignment horizontal="right" vertical="center"/>
    </xf>
    <xf numFmtId="14" fontId="25" fillId="0" borderId="30" xfId="0" applyNumberFormat="1" applyFont="1" applyBorder="1" applyAlignment="1">
      <alignment horizontal="left" vertical="center" wrapText="1"/>
    </xf>
    <xf numFmtId="0" fontId="8" fillId="0" borderId="30" xfId="0" applyFont="1" applyBorder="1" applyAlignment="1">
      <alignment horizontal="right" vertical="center"/>
    </xf>
    <xf numFmtId="1" fontId="8" fillId="0" borderId="30" xfId="0" applyNumberFormat="1" applyFont="1" applyBorder="1" applyAlignment="1">
      <alignment horizontal="right" vertical="center"/>
    </xf>
    <xf numFmtId="14" fontId="25" fillId="0" borderId="30" xfId="0" applyNumberFormat="1" applyFont="1" applyBorder="1" applyAlignment="1">
      <alignment horizontal="right" vertical="center" wrapText="1"/>
    </xf>
    <xf numFmtId="9" fontId="25" fillId="0" borderId="30" xfId="0" applyNumberFormat="1" applyFont="1" applyBorder="1" applyAlignment="1">
      <alignment vertical="center"/>
    </xf>
    <xf numFmtId="14" fontId="25" fillId="0" borderId="30" xfId="40" applyNumberFormat="1" applyFont="1" applyBorder="1" applyAlignment="1">
      <alignment horizontal="justify" vertical="center"/>
    </xf>
    <xf numFmtId="0" fontId="25" fillId="0" borderId="30" xfId="44" applyFont="1" applyBorder="1" applyAlignment="1">
      <alignment horizontal="justify" vertical="top"/>
    </xf>
    <xf numFmtId="14" fontId="25" fillId="0" borderId="30" xfId="44" applyNumberFormat="1" applyFont="1" applyBorder="1" applyAlignment="1">
      <alignment horizontal="justify" vertical="center" wrapText="1"/>
    </xf>
    <xf numFmtId="0" fontId="6" fillId="0" borderId="30" xfId="44" applyFont="1" applyBorder="1" applyAlignment="1">
      <alignment horizontal="left" vertical="center" wrapText="1"/>
    </xf>
    <xf numFmtId="0" fontId="2" fillId="0" borderId="30" xfId="44" applyFont="1" applyBorder="1" applyAlignment="1">
      <alignment horizontal="left" vertical="center" wrapText="1"/>
    </xf>
    <xf numFmtId="0" fontId="25" fillId="0" borderId="30" xfId="45" applyFont="1" applyBorder="1" applyAlignment="1">
      <alignment horizontal="justify" vertical="center" wrapText="1"/>
    </xf>
    <xf numFmtId="0" fontId="25" fillId="0" borderId="31" xfId="44" applyFont="1" applyBorder="1" applyAlignment="1">
      <alignment horizontal="justify" vertical="center" wrapText="1"/>
    </xf>
    <xf numFmtId="14" fontId="25" fillId="0" borderId="31" xfId="44" applyNumberFormat="1" applyFont="1" applyBorder="1" applyAlignment="1">
      <alignment horizontal="center" vertical="center" wrapText="1"/>
    </xf>
    <xf numFmtId="0" fontId="25" fillId="0" borderId="31" xfId="44" applyFont="1" applyBorder="1" applyAlignment="1">
      <alignment horizontal="justify" vertical="center"/>
    </xf>
    <xf numFmtId="172" fontId="25" fillId="0" borderId="30" xfId="0" applyNumberFormat="1" applyFont="1" applyBorder="1" applyAlignment="1">
      <alignment horizontal="right" vertical="center" wrapText="1"/>
    </xf>
    <xf numFmtId="172" fontId="25" fillId="0" borderId="30" xfId="0" applyNumberFormat="1" applyFont="1" applyBorder="1" applyAlignment="1">
      <alignment horizontal="right" vertical="center"/>
    </xf>
    <xf numFmtId="172" fontId="8" fillId="0" borderId="30" xfId="0" applyNumberFormat="1" applyFont="1" applyBorder="1" applyAlignment="1">
      <alignment horizontal="right" vertical="center"/>
    </xf>
    <xf numFmtId="172" fontId="25" fillId="0" borderId="30" xfId="66" applyNumberFormat="1" applyFont="1" applyFill="1" applyBorder="1" applyAlignment="1">
      <alignment horizontal="right" vertical="center"/>
    </xf>
    <xf numFmtId="172" fontId="25" fillId="0" borderId="30" xfId="63" applyNumberFormat="1" applyFont="1" applyFill="1" applyBorder="1" applyAlignment="1">
      <alignment vertical="center"/>
    </xf>
    <xf numFmtId="172" fontId="25" fillId="0" borderId="30" xfId="49" applyNumberFormat="1" applyFont="1" applyBorder="1" applyAlignment="1">
      <alignment vertical="center" wrapText="1"/>
    </xf>
    <xf numFmtId="172" fontId="8" fillId="0" borderId="30" xfId="0" applyNumberFormat="1" applyFont="1" applyBorder="1" applyAlignment="1">
      <alignment vertical="center" wrapText="1"/>
    </xf>
    <xf numFmtId="172" fontId="25" fillId="0" borderId="30" xfId="86" applyNumberFormat="1" applyFont="1" applyFill="1" applyBorder="1" applyAlignment="1">
      <alignment horizontal="right" vertical="center"/>
    </xf>
    <xf numFmtId="172" fontId="25" fillId="0" borderId="30" xfId="86" applyNumberFormat="1" applyFont="1" applyFill="1" applyBorder="1" applyAlignment="1">
      <alignment vertical="center"/>
    </xf>
    <xf numFmtId="172" fontId="25" fillId="0" borderId="31" xfId="49" applyNumberFormat="1" applyFont="1" applyBorder="1" applyAlignment="1">
      <alignment vertical="center" wrapText="1"/>
    </xf>
    <xf numFmtId="1" fontId="2" fillId="0" borderId="0" xfId="0" applyNumberFormat="1" applyFont="1" applyAlignment="1">
      <alignment vertical="center"/>
    </xf>
    <xf numFmtId="3" fontId="2" fillId="0" borderId="0" xfId="0" applyNumberFormat="1" applyFont="1" applyAlignment="1">
      <alignment horizontal="center" vertical="center"/>
    </xf>
    <xf numFmtId="14" fontId="25" fillId="0" borderId="0" xfId="0" applyNumberFormat="1" applyFont="1" applyAlignment="1">
      <alignment vertical="center"/>
    </xf>
    <xf numFmtId="0" fontId="25" fillId="0" borderId="0" xfId="0" applyFont="1" applyAlignment="1">
      <alignment horizontal="justify" vertical="center"/>
    </xf>
    <xf numFmtId="0" fontId="25" fillId="0" borderId="0" xfId="45" applyFont="1" applyAlignment="1">
      <alignment horizontal="center" vertical="center"/>
    </xf>
    <xf numFmtId="41" fontId="2" fillId="0" borderId="0" xfId="87" applyFont="1" applyFill="1" applyBorder="1" applyAlignment="1">
      <alignment vertical="center"/>
    </xf>
    <xf numFmtId="41" fontId="2" fillId="0" borderId="0" xfId="0" applyNumberFormat="1" applyFont="1" applyAlignment="1">
      <alignment vertical="center"/>
    </xf>
    <xf numFmtId="3" fontId="39" fillId="0" borderId="0" xfId="0" applyNumberFormat="1" applyFont="1" applyAlignment="1">
      <alignment horizontal="center"/>
    </xf>
    <xf numFmtId="172" fontId="25" fillId="0" borderId="0" xfId="49" applyNumberFormat="1" applyFont="1" applyAlignment="1">
      <alignment vertical="center" wrapText="1"/>
    </xf>
    <xf numFmtId="3" fontId="25" fillId="0" borderId="30" xfId="86" applyNumberFormat="1" applyFont="1" applyFill="1" applyBorder="1" applyAlignment="1">
      <alignment vertical="center"/>
    </xf>
    <xf numFmtId="3" fontId="25" fillId="0" borderId="30" xfId="87" applyNumberFormat="1" applyFont="1" applyFill="1" applyBorder="1" applyAlignment="1">
      <alignment vertical="center"/>
    </xf>
    <xf numFmtId="3" fontId="25" fillId="0" borderId="31" xfId="86" applyNumberFormat="1" applyFont="1" applyFill="1" applyBorder="1" applyAlignment="1">
      <alignment vertical="center"/>
    </xf>
    <xf numFmtId="3" fontId="2" fillId="0" borderId="0" xfId="0" applyNumberFormat="1" applyFont="1" applyAlignment="1">
      <alignment vertical="center"/>
    </xf>
    <xf numFmtId="3" fontId="25" fillId="0" borderId="0" xfId="87" applyNumberFormat="1" applyFont="1" applyFill="1" applyBorder="1" applyAlignment="1">
      <alignment vertical="center"/>
    </xf>
    <xf numFmtId="0" fontId="30" fillId="0" borderId="0" xfId="0" applyFont="1" applyAlignment="1">
      <alignment horizontal="center" vertical="top"/>
    </xf>
    <xf numFmtId="0" fontId="30" fillId="0" borderId="0" xfId="0" applyFont="1" applyAlignment="1">
      <alignment vertical="top"/>
    </xf>
    <xf numFmtId="0" fontId="25" fillId="0" borderId="0" xfId="38" applyFont="1" applyAlignment="1">
      <alignment vertical="center"/>
    </xf>
    <xf numFmtId="0" fontId="30" fillId="0" borderId="0" xfId="0" applyFont="1" applyAlignment="1">
      <alignment vertical="top" wrapText="1"/>
    </xf>
    <xf numFmtId="172" fontId="8" fillId="0" borderId="0" xfId="69" applyNumberFormat="1" applyFont="1" applyFill="1" applyAlignment="1">
      <alignment horizontal="center" vertical="center"/>
    </xf>
    <xf numFmtId="3" fontId="8" fillId="0" borderId="0" xfId="43" applyNumberFormat="1" applyFont="1" applyAlignment="1">
      <alignment vertical="center"/>
    </xf>
    <xf numFmtId="0" fontId="2" fillId="0" borderId="0" xfId="45" applyFont="1" applyAlignment="1">
      <alignment vertical="center"/>
    </xf>
    <xf numFmtId="0" fontId="30" fillId="0" borderId="0" xfId="0" applyFont="1"/>
    <xf numFmtId="172" fontId="0" fillId="4" borderId="0" xfId="0" applyNumberFormat="1" applyFill="1"/>
    <xf numFmtId="0" fontId="0" fillId="4" borderId="0" xfId="0" applyFill="1"/>
    <xf numFmtId="172" fontId="8" fillId="0" borderId="0" xfId="69" applyNumberFormat="1" applyFont="1" applyFill="1" applyAlignment="1">
      <alignment vertical="center"/>
    </xf>
    <xf numFmtId="3" fontId="39" fillId="0" borderId="0" xfId="0" applyNumberFormat="1" applyFont="1"/>
    <xf numFmtId="172" fontId="39" fillId="4" borderId="0" xfId="79" applyNumberFormat="1" applyFont="1" applyFill="1" applyAlignment="1"/>
    <xf numFmtId="0" fontId="39" fillId="4" borderId="0" xfId="0" applyFont="1" applyFill="1"/>
    <xf numFmtId="3" fontId="39" fillId="0" borderId="0" xfId="0" applyNumberFormat="1" applyFont="1" applyAlignment="1">
      <alignment vertical="center" wrapText="1"/>
    </xf>
    <xf numFmtId="0" fontId="31" fillId="4" borderId="0" xfId="0" applyFont="1" applyFill="1" applyAlignment="1">
      <alignment vertical="center"/>
    </xf>
    <xf numFmtId="0" fontId="4" fillId="0" borderId="42" xfId="45" applyFont="1" applyBorder="1" applyAlignment="1">
      <alignment vertical="center" wrapText="1"/>
    </xf>
    <xf numFmtId="0" fontId="6" fillId="0" borderId="42" xfId="45" applyFont="1" applyBorder="1" applyAlignment="1">
      <alignment vertical="center" wrapText="1"/>
    </xf>
    <xf numFmtId="0" fontId="103" fillId="0" borderId="42" xfId="45" applyFont="1" applyBorder="1" applyAlignment="1">
      <alignment vertical="center" wrapText="1"/>
    </xf>
    <xf numFmtId="3" fontId="12" fillId="0" borderId="42" xfId="38" applyNumberFormat="1" applyFont="1" applyBorder="1" applyAlignment="1">
      <alignment vertical="center"/>
    </xf>
    <xf numFmtId="0" fontId="12" fillId="0" borderId="42" xfId="38" applyFont="1" applyBorder="1" applyAlignment="1">
      <alignment vertical="center"/>
    </xf>
    <xf numFmtId="0" fontId="39" fillId="0" borderId="42" xfId="0" applyFont="1" applyBorder="1" applyAlignment="1">
      <alignment vertical="center" wrapText="1"/>
    </xf>
    <xf numFmtId="0" fontId="0" fillId="4" borderId="42" xfId="0" applyFill="1" applyBorder="1"/>
    <xf numFmtId="14" fontId="25" fillId="0" borderId="42" xfId="38" applyNumberFormat="1" applyFont="1" applyBorder="1" applyAlignment="1">
      <alignment vertical="center" wrapText="1"/>
    </xf>
    <xf numFmtId="0" fontId="25" fillId="0" borderId="42" xfId="38" applyFont="1" applyBorder="1" applyAlignment="1">
      <alignment vertical="center"/>
    </xf>
    <xf numFmtId="0" fontId="2" fillId="0" borderId="30" xfId="45" applyFont="1" applyBorder="1" applyAlignment="1">
      <alignment vertical="center" wrapText="1"/>
    </xf>
    <xf numFmtId="0" fontId="70" fillId="0" borderId="30" xfId="45" applyFont="1" applyBorder="1" applyAlignment="1">
      <alignment vertical="center" wrapText="1"/>
    </xf>
    <xf numFmtId="0" fontId="25" fillId="0" borderId="30" xfId="45" applyFont="1" applyBorder="1" applyAlignment="1">
      <alignment vertical="center" wrapText="1"/>
    </xf>
    <xf numFmtId="3" fontId="12" fillId="0" borderId="30" xfId="38" applyNumberFormat="1" applyFont="1" applyBorder="1" applyAlignment="1">
      <alignment vertical="center"/>
    </xf>
    <xf numFmtId="0" fontId="12" fillId="0" borderId="30" xfId="38" applyFont="1" applyBorder="1" applyAlignment="1">
      <alignment vertical="center"/>
    </xf>
    <xf numFmtId="0" fontId="0" fillId="4" borderId="30" xfId="0" applyFill="1" applyBorder="1"/>
    <xf numFmtId="14" fontId="25" fillId="0" borderId="30" xfId="38" applyNumberFormat="1" applyFont="1" applyBorder="1" applyAlignment="1">
      <alignment vertical="center" wrapText="1"/>
    </xf>
    <xf numFmtId="0" fontId="25" fillId="0" borderId="30" xfId="38" applyFont="1" applyBorder="1" applyAlignment="1">
      <alignment vertical="center"/>
    </xf>
    <xf numFmtId="3" fontId="12" fillId="0" borderId="30" xfId="38" applyNumberFormat="1" applyFont="1" applyBorder="1" applyAlignment="1">
      <alignment vertical="center" wrapText="1"/>
    </xf>
    <xf numFmtId="0" fontId="12" fillId="0" borderId="30" xfId="38" applyFont="1" applyBorder="1" applyAlignment="1">
      <alignment vertical="center" wrapText="1"/>
    </xf>
    <xf numFmtId="0" fontId="8" fillId="0" borderId="30" xfId="45" applyFont="1" applyBorder="1" applyAlignment="1">
      <alignment vertical="center" wrapText="1"/>
    </xf>
    <xf numFmtId="3" fontId="25" fillId="0" borderId="30" xfId="45" applyNumberFormat="1" applyFont="1" applyBorder="1" applyAlignment="1">
      <alignment vertical="center" wrapText="1"/>
    </xf>
    <xf numFmtId="172" fontId="25" fillId="0" borderId="30" xfId="45" applyNumberFormat="1" applyFont="1" applyBorder="1" applyAlignment="1">
      <alignment vertical="center" wrapText="1"/>
    </xf>
    <xf numFmtId="14" fontId="25" fillId="0" borderId="30" xfId="49" applyNumberFormat="1" applyFont="1" applyBorder="1" applyAlignment="1">
      <alignment vertical="center" wrapText="1"/>
    </xf>
    <xf numFmtId="0" fontId="25" fillId="4" borderId="30" xfId="45" applyFont="1" applyFill="1" applyBorder="1" applyAlignment="1">
      <alignment vertical="center" wrapText="1"/>
    </xf>
    <xf numFmtId="3" fontId="25" fillId="4" borderId="30" xfId="45" applyNumberFormat="1" applyFont="1" applyFill="1" applyBorder="1" applyAlignment="1">
      <alignment vertical="center" wrapText="1"/>
    </xf>
    <xf numFmtId="172" fontId="25" fillId="4" borderId="30" xfId="65" applyNumberFormat="1" applyFont="1" applyFill="1" applyBorder="1" applyAlignment="1">
      <alignment vertical="center" wrapText="1"/>
    </xf>
    <xf numFmtId="191" fontId="31" fillId="4" borderId="30" xfId="88" applyNumberFormat="1" applyFont="1" applyFill="1" applyBorder="1" applyAlignment="1">
      <alignment vertical="center"/>
    </xf>
    <xf numFmtId="3" fontId="31" fillId="4" borderId="30" xfId="88" applyNumberFormat="1" applyFont="1" applyFill="1" applyBorder="1" applyAlignment="1">
      <alignment vertical="center"/>
    </xf>
    <xf numFmtId="172" fontId="25" fillId="4" borderId="30" xfId="69" applyNumberFormat="1" applyFont="1" applyFill="1" applyBorder="1" applyAlignment="1">
      <alignment vertical="center" wrapText="1"/>
    </xf>
    <xf numFmtId="14" fontId="25" fillId="4" borderId="30" xfId="49" applyNumberFormat="1" applyFont="1" applyFill="1" applyBorder="1" applyAlignment="1">
      <alignment vertical="center" wrapText="1"/>
    </xf>
    <xf numFmtId="0" fontId="25" fillId="4" borderId="30" xfId="38" applyFont="1" applyFill="1" applyBorder="1" applyAlignment="1">
      <alignment vertical="center" wrapText="1"/>
    </xf>
    <xf numFmtId="172" fontId="25" fillId="0" borderId="30" xfId="65" applyNumberFormat="1" applyFont="1" applyFill="1" applyBorder="1" applyAlignment="1">
      <alignment vertical="center" wrapText="1"/>
    </xf>
    <xf numFmtId="1" fontId="25" fillId="0" borderId="30" xfId="45" applyNumberFormat="1" applyFont="1" applyBorder="1" applyAlignment="1">
      <alignment vertical="center" wrapText="1"/>
    </xf>
    <xf numFmtId="0" fontId="6" fillId="0" borderId="30" xfId="45" applyFont="1" applyBorder="1" applyAlignment="1">
      <alignment vertical="center" wrapText="1"/>
    </xf>
    <xf numFmtId="0" fontId="103" fillId="0" borderId="30" xfId="45" applyFont="1" applyBorder="1" applyAlignment="1">
      <alignment vertical="center" wrapText="1"/>
    </xf>
    <xf numFmtId="3" fontId="103" fillId="0" borderId="30" xfId="45" applyNumberFormat="1" applyFont="1" applyBorder="1" applyAlignment="1">
      <alignment vertical="center" wrapText="1"/>
    </xf>
    <xf numFmtId="172" fontId="103" fillId="0" borderId="30" xfId="45" applyNumberFormat="1" applyFont="1" applyBorder="1" applyAlignment="1">
      <alignment vertical="center" wrapText="1"/>
    </xf>
    <xf numFmtId="14" fontId="103" fillId="0" borderId="30" xfId="49" applyNumberFormat="1" applyFont="1" applyBorder="1" applyAlignment="1">
      <alignment vertical="center" wrapText="1"/>
    </xf>
    <xf numFmtId="0" fontId="103" fillId="0" borderId="30" xfId="38" applyFont="1" applyBorder="1" applyAlignment="1">
      <alignment vertical="center" wrapText="1"/>
    </xf>
    <xf numFmtId="10" fontId="31" fillId="4" borderId="30" xfId="0" applyNumberFormat="1" applyFont="1" applyFill="1" applyBorder="1" applyAlignment="1">
      <alignment vertical="center"/>
    </xf>
    <xf numFmtId="2" fontId="25" fillId="0" borderId="30" xfId="45" applyNumberFormat="1" applyFont="1" applyBorder="1" applyAlignment="1">
      <alignment vertical="center" wrapText="1"/>
    </xf>
    <xf numFmtId="2" fontId="25" fillId="4" borderId="30" xfId="45" applyNumberFormat="1" applyFont="1" applyFill="1" applyBorder="1" applyAlignment="1">
      <alignment vertical="center" wrapText="1"/>
    </xf>
    <xf numFmtId="1" fontId="25" fillId="4" borderId="30" xfId="45" applyNumberFormat="1" applyFont="1" applyFill="1" applyBorder="1" applyAlignment="1">
      <alignment vertical="center" wrapText="1"/>
    </xf>
    <xf numFmtId="191" fontId="31" fillId="4" borderId="30" xfId="0" applyNumberFormat="1" applyFont="1" applyFill="1" applyBorder="1" applyAlignment="1">
      <alignment vertical="center"/>
    </xf>
    <xf numFmtId="0" fontId="103" fillId="4" borderId="30" xfId="38" applyFont="1" applyFill="1" applyBorder="1" applyAlignment="1">
      <alignment vertical="center" wrapText="1"/>
    </xf>
    <xf numFmtId="191" fontId="31" fillId="0" borderId="30" xfId="88" applyNumberFormat="1" applyFont="1" applyFill="1" applyBorder="1" applyAlignment="1">
      <alignment vertical="center"/>
    </xf>
    <xf numFmtId="172" fontId="25" fillId="4" borderId="30" xfId="45" applyNumberFormat="1" applyFont="1" applyFill="1" applyBorder="1" applyAlignment="1">
      <alignment vertical="center" wrapText="1"/>
    </xf>
    <xf numFmtId="0" fontId="25" fillId="4" borderId="30" xfId="45" applyFont="1" applyFill="1" applyBorder="1" applyAlignment="1">
      <alignment vertical="center"/>
    </xf>
    <xf numFmtId="185" fontId="25" fillId="4" borderId="30" xfId="45" applyNumberFormat="1" applyFont="1" applyFill="1" applyBorder="1" applyAlignment="1">
      <alignment vertical="center" wrapText="1"/>
    </xf>
    <xf numFmtId="185" fontId="25" fillId="0" borderId="30" xfId="45" applyNumberFormat="1" applyFont="1" applyBorder="1" applyAlignment="1">
      <alignment vertical="center" wrapText="1"/>
    </xf>
    <xf numFmtId="175" fontId="25" fillId="0" borderId="30" xfId="45" applyNumberFormat="1" applyFont="1" applyBorder="1" applyAlignment="1">
      <alignment vertical="center" wrapText="1"/>
    </xf>
    <xf numFmtId="175" fontId="25" fillId="4" borderId="30" xfId="45" applyNumberFormat="1" applyFont="1" applyFill="1" applyBorder="1" applyAlignment="1">
      <alignment vertical="center" wrapText="1"/>
    </xf>
    <xf numFmtId="14" fontId="25" fillId="4" borderId="30" xfId="65" applyNumberFormat="1" applyFont="1" applyFill="1" applyBorder="1" applyAlignment="1">
      <alignment vertical="center" wrapText="1"/>
    </xf>
    <xf numFmtId="191" fontId="31" fillId="0" borderId="30" xfId="0" applyNumberFormat="1" applyFont="1" applyBorder="1" applyAlignment="1">
      <alignment vertical="center"/>
    </xf>
    <xf numFmtId="1" fontId="31" fillId="0" borderId="30" xfId="0" applyNumberFormat="1" applyFont="1" applyBorder="1" applyAlignment="1">
      <alignment vertical="center"/>
    </xf>
    <xf numFmtId="3" fontId="31" fillId="4" borderId="30" xfId="63" applyNumberFormat="1" applyFont="1" applyFill="1" applyBorder="1" applyAlignment="1">
      <alignment vertical="center"/>
    </xf>
    <xf numFmtId="191" fontId="31" fillId="0" borderId="30" xfId="63" applyNumberFormat="1" applyFont="1" applyFill="1" applyBorder="1" applyAlignment="1">
      <alignment vertical="center"/>
    </xf>
    <xf numFmtId="0" fontId="25" fillId="0" borderId="31" xfId="45" applyFont="1" applyBorder="1" applyAlignment="1">
      <alignment vertical="center" wrapText="1"/>
    </xf>
    <xf numFmtId="185" fontId="25" fillId="0" borderId="31" xfId="45" applyNumberFormat="1" applyFont="1" applyBorder="1" applyAlignment="1">
      <alignment vertical="center" wrapText="1"/>
    </xf>
    <xf numFmtId="1" fontId="25" fillId="0" borderId="31" xfId="45" applyNumberFormat="1" applyFont="1" applyBorder="1" applyAlignment="1">
      <alignment vertical="center" wrapText="1"/>
    </xf>
    <xf numFmtId="172" fontId="25" fillId="0" borderId="31" xfId="45" applyNumberFormat="1" applyFont="1" applyBorder="1" applyAlignment="1">
      <alignment vertical="center" wrapText="1"/>
    </xf>
    <xf numFmtId="3" fontId="31" fillId="0" borderId="31" xfId="0" applyNumberFormat="1" applyFont="1" applyBorder="1" applyAlignment="1">
      <alignment vertical="center"/>
    </xf>
    <xf numFmtId="172" fontId="25" fillId="4" borderId="31" xfId="69" applyNumberFormat="1" applyFont="1" applyFill="1" applyBorder="1" applyAlignment="1">
      <alignment vertical="center" wrapText="1"/>
    </xf>
    <xf numFmtId="14" fontId="25" fillId="0" borderId="31" xfId="49" applyNumberFormat="1" applyFont="1" applyBorder="1" applyAlignment="1">
      <alignment vertical="center" wrapText="1"/>
    </xf>
    <xf numFmtId="0" fontId="25" fillId="0" borderId="31" xfId="38" applyFont="1" applyBorder="1" applyAlignment="1">
      <alignment vertical="center" wrapText="1"/>
    </xf>
    <xf numFmtId="0" fontId="6" fillId="0" borderId="42" xfId="45" applyFont="1" applyBorder="1" applyAlignment="1">
      <alignment horizontal="center" vertical="center" wrapText="1"/>
    </xf>
    <xf numFmtId="0" fontId="70" fillId="0" borderId="30" xfId="45" applyFont="1" applyBorder="1" applyAlignment="1">
      <alignment horizontal="center" vertical="center" wrapText="1"/>
    </xf>
    <xf numFmtId="0" fontId="2" fillId="0" borderId="30" xfId="45" applyFont="1" applyBorder="1" applyAlignment="1">
      <alignment horizontal="center" vertical="center" wrapText="1"/>
    </xf>
    <xf numFmtId="0" fontId="8" fillId="0" borderId="30" xfId="45" applyFont="1" applyBorder="1" applyAlignment="1">
      <alignment horizontal="center" vertical="center" wrapText="1"/>
    </xf>
    <xf numFmtId="0" fontId="25" fillId="0" borderId="30" xfId="45" applyFont="1" applyBorder="1" applyAlignment="1">
      <alignment horizontal="center" vertical="center" wrapText="1"/>
    </xf>
    <xf numFmtId="0" fontId="6" fillId="0" borderId="30" xfId="45" applyFont="1" applyBorder="1" applyAlignment="1">
      <alignment horizontal="center" vertical="center" wrapText="1"/>
    </xf>
    <xf numFmtId="0" fontId="25" fillId="4" borderId="30" xfId="45" applyFont="1" applyFill="1" applyBorder="1" applyAlignment="1">
      <alignment horizontal="center" vertical="center" wrapText="1"/>
    </xf>
    <xf numFmtId="0" fontId="30" fillId="0" borderId="0" xfId="0" applyFont="1" applyAlignment="1">
      <alignment horizontal="right"/>
    </xf>
    <xf numFmtId="172" fontId="31" fillId="4" borderId="30" xfId="0" applyNumberFormat="1" applyFont="1" applyFill="1" applyBorder="1" applyAlignment="1">
      <alignment vertical="center" wrapText="1"/>
    </xf>
    <xf numFmtId="172" fontId="31" fillId="0" borderId="30" xfId="63" applyNumberFormat="1" applyFont="1" applyBorder="1" applyAlignment="1">
      <alignment vertical="center"/>
    </xf>
    <xf numFmtId="172" fontId="31" fillId="4" borderId="31" xfId="0" applyNumberFormat="1" applyFont="1" applyFill="1" applyBorder="1" applyAlignment="1">
      <alignment vertical="center"/>
    </xf>
    <xf numFmtId="0" fontId="33" fillId="0" borderId="10" xfId="0" applyFont="1" applyBorder="1" applyAlignment="1">
      <alignment horizontal="left" vertical="center" wrapText="1"/>
    </xf>
    <xf numFmtId="0" fontId="33" fillId="0" borderId="10" xfId="0" applyFont="1" applyBorder="1" applyAlignment="1">
      <alignment horizontal="center" vertical="center" wrapText="1"/>
    </xf>
    <xf numFmtId="1" fontId="33" fillId="0" borderId="10" xfId="0" applyNumberFormat="1" applyFont="1" applyBorder="1" applyAlignment="1">
      <alignment horizontal="center" vertical="center" wrapText="1"/>
    </xf>
    <xf numFmtId="3" fontId="33" fillId="0" borderId="10" xfId="0" applyNumberFormat="1" applyFont="1" applyBorder="1" applyAlignment="1">
      <alignment horizontal="center" vertical="center" wrapText="1"/>
    </xf>
    <xf numFmtId="9" fontId="33" fillId="0" borderId="10" xfId="0" applyNumberFormat="1" applyFont="1" applyBorder="1" applyAlignment="1">
      <alignment horizontal="center" vertical="center" wrapText="1"/>
    </xf>
    <xf numFmtId="0" fontId="44" fillId="0" borderId="10" xfId="0" applyFont="1" applyBorder="1" applyAlignment="1">
      <alignment horizontal="center" vertical="center" wrapText="1"/>
    </xf>
    <xf numFmtId="0" fontId="44" fillId="0" borderId="10" xfId="0" applyFont="1" applyBorder="1" applyAlignment="1">
      <alignment horizontal="left" vertical="center" wrapText="1"/>
    </xf>
    <xf numFmtId="1" fontId="44" fillId="0" borderId="10" xfId="0" applyNumberFormat="1" applyFont="1" applyBorder="1" applyAlignment="1">
      <alignment horizontal="center" vertical="center" wrapText="1"/>
    </xf>
    <xf numFmtId="3" fontId="44" fillId="0" borderId="10" xfId="0" applyNumberFormat="1" applyFont="1" applyBorder="1" applyAlignment="1">
      <alignment horizontal="center" vertical="center" wrapText="1"/>
    </xf>
    <xf numFmtId="9" fontId="44" fillId="0" borderId="10" xfId="0" applyNumberFormat="1" applyFont="1" applyBorder="1" applyAlignment="1">
      <alignment horizontal="center" vertical="center" wrapText="1"/>
    </xf>
    <xf numFmtId="0" fontId="107" fillId="0" borderId="10" xfId="0" applyFont="1" applyBorder="1" applyAlignment="1">
      <alignment horizontal="center" vertical="center" wrapText="1"/>
    </xf>
    <xf numFmtId="0" fontId="107" fillId="0" borderId="10" xfId="0" applyFont="1" applyBorder="1" applyAlignment="1">
      <alignment vertical="center" wrapText="1"/>
    </xf>
    <xf numFmtId="0" fontId="107" fillId="0" borderId="10" xfId="0" applyFont="1" applyBorder="1" applyAlignment="1">
      <alignment horizontal="left" vertical="center" wrapText="1"/>
    </xf>
    <xf numFmtId="1" fontId="107" fillId="0" borderId="10" xfId="0" applyNumberFormat="1" applyFont="1" applyBorder="1" applyAlignment="1">
      <alignment horizontal="center" vertical="center" wrapText="1"/>
    </xf>
    <xf numFmtId="3" fontId="107" fillId="0" borderId="10" xfId="0" applyNumberFormat="1" applyFont="1" applyBorder="1" applyAlignment="1">
      <alignment horizontal="center" vertical="center" wrapText="1"/>
    </xf>
    <xf numFmtId="9" fontId="107" fillId="0" borderId="10" xfId="0" applyNumberFormat="1" applyFont="1" applyBorder="1" applyAlignment="1">
      <alignment horizontal="center" vertical="center" wrapText="1"/>
    </xf>
    <xf numFmtId="0" fontId="108" fillId="0" borderId="10" xfId="0" applyFont="1" applyBorder="1" applyAlignment="1">
      <alignment horizontal="center" vertical="center" wrapText="1"/>
    </xf>
    <xf numFmtId="1" fontId="31" fillId="0" borderId="10" xfId="0" applyNumberFormat="1" applyFont="1" applyBorder="1" applyAlignment="1">
      <alignment horizontal="right" vertical="center" wrapText="1"/>
    </xf>
    <xf numFmtId="3" fontId="32" fillId="0" borderId="10" xfId="0" applyNumberFormat="1" applyFont="1" applyBorder="1" applyAlignment="1">
      <alignment vertical="center"/>
    </xf>
    <xf numFmtId="9" fontId="32" fillId="0" borderId="10" xfId="0" applyNumberFormat="1" applyFont="1" applyBorder="1" applyAlignment="1">
      <alignment horizontal="right" vertical="center" wrapText="1"/>
    </xf>
    <xf numFmtId="1" fontId="32" fillId="0" borderId="10" xfId="0" applyNumberFormat="1" applyFont="1" applyBorder="1" applyAlignment="1">
      <alignment horizontal="right" vertical="center" wrapText="1"/>
    </xf>
    <xf numFmtId="177" fontId="32" fillId="0" borderId="10" xfId="0" applyNumberFormat="1" applyFont="1" applyBorder="1" applyAlignment="1">
      <alignment vertical="center"/>
    </xf>
    <xf numFmtId="1" fontId="32" fillId="0" borderId="10" xfId="0" applyNumberFormat="1" applyFont="1" applyBorder="1" applyAlignment="1">
      <alignment vertical="center"/>
    </xf>
    <xf numFmtId="0" fontId="32" fillId="0" borderId="10" xfId="0" applyFont="1" applyBorder="1" applyAlignment="1">
      <alignment horizontal="right" vertical="center" wrapText="1"/>
    </xf>
    <xf numFmtId="1" fontId="30" fillId="0" borderId="10" xfId="0" applyNumberFormat="1" applyFont="1" applyBorder="1" applyAlignment="1">
      <alignment vertical="center"/>
    </xf>
    <xf numFmtId="0" fontId="30" fillId="0" borderId="10" xfId="0" applyFont="1" applyBorder="1" applyAlignment="1">
      <alignment horizontal="right" vertical="center" wrapText="1"/>
    </xf>
    <xf numFmtId="1" fontId="39" fillId="0" borderId="10" xfId="0" applyNumberFormat="1" applyFont="1" applyBorder="1" applyAlignment="1">
      <alignment vertical="center"/>
    </xf>
    <xf numFmtId="9" fontId="39" fillId="0" borderId="10" xfId="0" applyNumberFormat="1" applyFont="1" applyBorder="1" applyAlignment="1">
      <alignment horizontal="right" vertical="center" wrapText="1"/>
    </xf>
    <xf numFmtId="0" fontId="39" fillId="0" borderId="10" xfId="0" applyFont="1" applyBorder="1" applyAlignment="1">
      <alignment horizontal="right" vertical="center" wrapText="1"/>
    </xf>
    <xf numFmtId="1" fontId="31" fillId="0" borderId="10" xfId="0" applyNumberFormat="1" applyFont="1" applyBorder="1" applyAlignment="1">
      <alignment vertical="center"/>
    </xf>
    <xf numFmtId="1" fontId="76" fillId="0" borderId="10" xfId="0" applyNumberFormat="1" applyFont="1" applyBorder="1" applyAlignment="1">
      <alignment vertical="center"/>
    </xf>
    <xf numFmtId="0" fontId="39" fillId="0" borderId="10" xfId="0" applyFont="1" applyBorder="1" applyAlignment="1">
      <alignment horizontal="right" vertical="center"/>
    </xf>
    <xf numFmtId="1" fontId="39" fillId="0" borderId="10" xfId="0" applyNumberFormat="1" applyFont="1" applyBorder="1" applyAlignment="1">
      <alignment horizontal="right" vertical="center"/>
    </xf>
    <xf numFmtId="9" fontId="31" fillId="0" borderId="10" xfId="0" applyNumberFormat="1" applyFont="1" applyBorder="1" applyAlignment="1">
      <alignment horizontal="right" vertical="center"/>
    </xf>
    <xf numFmtId="1" fontId="31" fillId="0" borderId="10" xfId="0" applyNumberFormat="1" applyFont="1" applyBorder="1" applyAlignment="1">
      <alignment horizontal="right" vertical="center"/>
    </xf>
    <xf numFmtId="0" fontId="76" fillId="0" borderId="10" xfId="0" applyFont="1" applyBorder="1" applyAlignment="1">
      <alignment horizontal="left" vertical="center" wrapText="1"/>
    </xf>
    <xf numFmtId="1" fontId="39" fillId="0" borderId="10" xfId="0" applyNumberFormat="1" applyFont="1" applyBorder="1" applyAlignment="1">
      <alignment horizontal="right" vertical="center" wrapText="1"/>
    </xf>
    <xf numFmtId="177" fontId="76" fillId="0" borderId="10" xfId="0" applyNumberFormat="1" applyFont="1" applyBorder="1" applyAlignment="1">
      <alignment vertical="center"/>
    </xf>
    <xf numFmtId="0" fontId="30" fillId="0" borderId="10" xfId="0" applyFont="1" applyBorder="1" applyAlignment="1">
      <alignment horizontal="right" vertical="center"/>
    </xf>
    <xf numFmtId="1" fontId="30" fillId="0" borderId="10" xfId="0" applyNumberFormat="1" applyFont="1" applyBorder="1" applyAlignment="1">
      <alignment horizontal="right" vertical="center"/>
    </xf>
    <xf numFmtId="177" fontId="31" fillId="0" borderId="10" xfId="0" applyNumberFormat="1" applyFont="1" applyBorder="1" applyAlignment="1">
      <alignment horizontal="right" vertical="center"/>
    </xf>
    <xf numFmtId="3" fontId="39" fillId="0" borderId="10" xfId="0" applyNumberFormat="1" applyFont="1" applyBorder="1" applyAlignment="1">
      <alignment horizontal="center" vertical="center"/>
    </xf>
    <xf numFmtId="177" fontId="25" fillId="0" borderId="10" xfId="0" applyNumberFormat="1" applyFont="1" applyBorder="1" applyAlignment="1">
      <alignment horizontal="right" vertical="center"/>
    </xf>
    <xf numFmtId="177" fontId="39" fillId="0" borderId="10" xfId="0" applyNumberFormat="1" applyFont="1" applyBorder="1" applyAlignment="1">
      <alignment horizontal="right" vertical="center"/>
    </xf>
    <xf numFmtId="0" fontId="25" fillId="0" borderId="10" xfId="0" applyFont="1" applyBorder="1" applyAlignment="1">
      <alignment vertical="center"/>
    </xf>
    <xf numFmtId="172" fontId="25" fillId="0" borderId="10" xfId="0" applyNumberFormat="1" applyFont="1" applyBorder="1" applyAlignment="1">
      <alignment horizontal="right" vertical="center"/>
    </xf>
    <xf numFmtId="14" fontId="25" fillId="0" borderId="10" xfId="0" applyNumberFormat="1" applyFont="1" applyBorder="1" applyAlignment="1">
      <alignment vertical="center"/>
    </xf>
    <xf numFmtId="188" fontId="39" fillId="0" borderId="10" xfId="0" applyNumberFormat="1" applyFont="1" applyBorder="1" applyAlignment="1">
      <alignment horizontal="right" vertical="center"/>
    </xf>
    <xf numFmtId="0" fontId="32" fillId="0" borderId="10" xfId="0" applyFont="1" applyBorder="1" applyAlignment="1">
      <alignment horizontal="right" vertical="center"/>
    </xf>
    <xf numFmtId="172" fontId="32" fillId="0" borderId="10" xfId="0" applyNumberFormat="1" applyFont="1" applyBorder="1" applyAlignment="1">
      <alignment horizontal="right" vertical="center"/>
    </xf>
    <xf numFmtId="1" fontId="32" fillId="0" borderId="10" xfId="0" applyNumberFormat="1" applyFont="1" applyBorder="1" applyAlignment="1">
      <alignment horizontal="right" vertical="center"/>
    </xf>
    <xf numFmtId="172" fontId="30" fillId="0" borderId="10" xfId="0" applyNumberFormat="1" applyFont="1" applyBorder="1" applyAlignment="1">
      <alignment horizontal="right" vertical="center"/>
    </xf>
    <xf numFmtId="1" fontId="31" fillId="0" borderId="10" xfId="0" applyNumberFormat="1" applyFont="1" applyBorder="1" applyAlignment="1">
      <alignment horizontal="center" vertical="center"/>
    </xf>
    <xf numFmtId="10" fontId="39" fillId="0" borderId="10" xfId="0" applyNumberFormat="1" applyFont="1" applyBorder="1" applyAlignment="1">
      <alignment horizontal="center" vertical="center"/>
    </xf>
    <xf numFmtId="10" fontId="31" fillId="0" borderId="10" xfId="0" applyNumberFormat="1" applyFont="1" applyBorder="1" applyAlignment="1">
      <alignment horizontal="center" vertical="center"/>
    </xf>
    <xf numFmtId="4" fontId="31" fillId="0" borderId="10" xfId="0" applyNumberFormat="1" applyFont="1" applyBorder="1" applyAlignment="1">
      <alignment vertical="center"/>
    </xf>
    <xf numFmtId="0" fontId="39" fillId="0" borderId="0" xfId="0" applyFont="1" applyAlignment="1">
      <alignment horizontal="left" vertical="center" wrapText="1"/>
    </xf>
    <xf numFmtId="1" fontId="31" fillId="0" borderId="0" xfId="0" applyNumberFormat="1" applyFont="1" applyAlignment="1">
      <alignment vertical="center"/>
    </xf>
    <xf numFmtId="0" fontId="33" fillId="0" borderId="18" xfId="0" applyFont="1" applyBorder="1" applyAlignment="1">
      <alignment horizontal="center" vertical="center" wrapText="1"/>
    </xf>
    <xf numFmtId="0" fontId="33" fillId="0" borderId="18" xfId="0" applyFont="1" applyBorder="1" applyAlignment="1">
      <alignment horizontal="left" vertical="center" wrapText="1"/>
    </xf>
    <xf numFmtId="1" fontId="33" fillId="0" borderId="18" xfId="0" applyNumberFormat="1" applyFont="1" applyBorder="1" applyAlignment="1">
      <alignment horizontal="center" vertical="center" wrapText="1"/>
    </xf>
    <xf numFmtId="0" fontId="106" fillId="0" borderId="18" xfId="0" applyFont="1" applyBorder="1" applyAlignment="1">
      <alignment vertical="center" wrapText="1"/>
    </xf>
    <xf numFmtId="3" fontId="33" fillId="0" borderId="18" xfId="0" applyNumberFormat="1" applyFont="1" applyBorder="1" applyAlignment="1">
      <alignment horizontal="center" vertical="center" wrapText="1"/>
    </xf>
    <xf numFmtId="9" fontId="33" fillId="0" borderId="18" xfId="0" applyNumberFormat="1" applyFont="1" applyBorder="1" applyAlignment="1">
      <alignment horizontal="center" vertical="center" wrapText="1"/>
    </xf>
    <xf numFmtId="0" fontId="25" fillId="0" borderId="10" xfId="44" applyFont="1" applyBorder="1" applyAlignment="1">
      <alignment vertical="center" wrapText="1"/>
    </xf>
    <xf numFmtId="10" fontId="31" fillId="0" borderId="19" xfId="0" applyNumberFormat="1" applyFont="1" applyBorder="1" applyAlignment="1">
      <alignment horizontal="center" vertical="center"/>
    </xf>
    <xf numFmtId="0" fontId="25" fillId="0" borderId="19" xfId="44" applyFont="1" applyBorder="1" applyAlignment="1">
      <alignment vertical="center" wrapText="1"/>
    </xf>
    <xf numFmtId="4" fontId="31" fillId="0" borderId="19" xfId="0" applyNumberFormat="1" applyFont="1" applyBorder="1" applyAlignment="1">
      <alignment vertical="center"/>
    </xf>
    <xf numFmtId="172" fontId="31" fillId="0" borderId="19" xfId="0" applyNumberFormat="1" applyFont="1" applyBorder="1" applyAlignment="1">
      <alignment horizontal="right" vertical="center"/>
    </xf>
    <xf numFmtId="10" fontId="31" fillId="0" borderId="19" xfId="0" applyNumberFormat="1" applyFont="1" applyBorder="1" applyAlignment="1">
      <alignment horizontal="right" vertical="center"/>
    </xf>
    <xf numFmtId="177" fontId="31" fillId="0" borderId="19" xfId="0" applyNumberFormat="1" applyFont="1" applyBorder="1" applyAlignment="1">
      <alignment horizontal="right" vertical="center"/>
    </xf>
    <xf numFmtId="172" fontId="32" fillId="0" borderId="10" xfId="0" applyNumberFormat="1" applyFont="1" applyBorder="1" applyAlignment="1">
      <alignment horizontal="center" vertical="center" wrapText="1"/>
    </xf>
    <xf numFmtId="172" fontId="32" fillId="0" borderId="10" xfId="0" applyNumberFormat="1" applyFont="1" applyBorder="1" applyAlignment="1">
      <alignment vertical="center"/>
    </xf>
    <xf numFmtId="172" fontId="30" fillId="0" borderId="10" xfId="0" applyNumberFormat="1" applyFont="1" applyBorder="1" applyAlignment="1">
      <alignment vertical="center"/>
    </xf>
    <xf numFmtId="172" fontId="32" fillId="0" borderId="10" xfId="0" applyNumberFormat="1" applyFont="1" applyBorder="1" applyAlignment="1">
      <alignment vertical="center" wrapText="1"/>
    </xf>
    <xf numFmtId="172" fontId="39" fillId="0" borderId="10" xfId="0" applyNumberFormat="1" applyFont="1" applyBorder="1" applyAlignment="1">
      <alignment vertical="center" wrapText="1"/>
    </xf>
    <xf numFmtId="3" fontId="25" fillId="0" borderId="10" xfId="87" applyNumberFormat="1" applyFont="1" applyFill="1" applyBorder="1" applyAlignment="1">
      <alignment vertical="center" wrapText="1"/>
    </xf>
    <xf numFmtId="192" fontId="31" fillId="0" borderId="10" xfId="86" applyNumberFormat="1" applyFont="1" applyFill="1" applyBorder="1" applyAlignment="1">
      <alignment vertical="center"/>
    </xf>
    <xf numFmtId="3" fontId="25" fillId="0" borderId="10" xfId="0" applyNumberFormat="1" applyFont="1" applyBorder="1" applyAlignment="1">
      <alignment vertical="center"/>
    </xf>
    <xf numFmtId="3" fontId="25" fillId="0" borderId="10" xfId="23" applyNumberFormat="1" applyFont="1" applyFill="1" applyBorder="1" applyAlignment="1">
      <alignment vertical="center"/>
    </xf>
    <xf numFmtId="3" fontId="31" fillId="0" borderId="19" xfId="0" applyNumberFormat="1" applyFont="1" applyBorder="1" applyAlignment="1">
      <alignment vertical="center"/>
    </xf>
    <xf numFmtId="172" fontId="30" fillId="0" borderId="10" xfId="0" applyNumberFormat="1" applyFont="1" applyBorder="1" applyAlignment="1">
      <alignment vertical="center" wrapText="1"/>
    </xf>
    <xf numFmtId="1" fontId="39" fillId="0" borderId="0" xfId="0" applyNumberFormat="1" applyFont="1" applyAlignment="1">
      <alignment vertical="center"/>
    </xf>
    <xf numFmtId="0" fontId="39" fillId="0" borderId="0" xfId="0" applyFont="1" applyAlignment="1">
      <alignment horizontal="right" vertical="center"/>
    </xf>
    <xf numFmtId="0" fontId="32" fillId="0" borderId="30" xfId="49" applyFont="1" applyBorder="1" applyAlignment="1">
      <alignment horizontal="left" vertical="center" wrapText="1"/>
    </xf>
    <xf numFmtId="0" fontId="70" fillId="0" borderId="30" xfId="49" applyFont="1" applyBorder="1" applyAlignment="1">
      <alignment horizontal="center" vertical="center" wrapText="1"/>
    </xf>
    <xf numFmtId="0" fontId="70" fillId="0" borderId="30" xfId="39" applyFont="1" applyBorder="1" applyAlignment="1">
      <alignment horizontal="left" vertical="center" wrapText="1"/>
    </xf>
    <xf numFmtId="0" fontId="70" fillId="0" borderId="30" xfId="39" applyFont="1" applyBorder="1" applyAlignment="1">
      <alignment vertical="center" wrapText="1"/>
    </xf>
    <xf numFmtId="9" fontId="70" fillId="0" borderId="30" xfId="79" applyFont="1" applyBorder="1" applyAlignment="1">
      <alignment horizontal="center" vertical="center" wrapText="1"/>
    </xf>
    <xf numFmtId="9" fontId="25" fillId="0" borderId="30" xfId="79" applyFont="1" applyBorder="1" applyAlignment="1">
      <alignment horizontal="center" vertical="center" wrapText="1"/>
    </xf>
    <xf numFmtId="0" fontId="0" fillId="0" borderId="30" xfId="0" applyBorder="1" applyAlignment="1">
      <alignment horizontal="center" vertical="center" wrapText="1"/>
    </xf>
    <xf numFmtId="0" fontId="70" fillId="0" borderId="30" xfId="39" applyFont="1" applyBorder="1" applyAlignment="1">
      <alignment horizontal="right" vertical="center" wrapText="1"/>
    </xf>
    <xf numFmtId="193" fontId="70" fillId="0" borderId="30" xfId="44" applyNumberFormat="1" applyFont="1" applyBorder="1" applyAlignment="1">
      <alignment horizontal="center" vertical="center" wrapText="1"/>
    </xf>
    <xf numFmtId="193" fontId="70" fillId="0" borderId="30" xfId="39" applyNumberFormat="1" applyFont="1" applyBorder="1" applyAlignment="1">
      <alignment horizontal="center" vertical="center" wrapText="1"/>
    </xf>
    <xf numFmtId="0" fontId="30" fillId="0" borderId="30" xfId="49" applyFont="1" applyBorder="1" applyAlignment="1">
      <alignment horizontal="left" vertical="center" wrapText="1"/>
    </xf>
    <xf numFmtId="0" fontId="2" fillId="0" borderId="30" xfId="49" applyFont="1" applyBorder="1" applyAlignment="1">
      <alignment horizontal="center" vertical="center" wrapText="1"/>
    </xf>
    <xf numFmtId="0" fontId="2" fillId="0" borderId="30" xfId="39" applyFont="1" applyBorder="1" applyAlignment="1">
      <alignment horizontal="left" vertical="center" wrapText="1"/>
    </xf>
    <xf numFmtId="0" fontId="2" fillId="0" borderId="30" xfId="39" applyFont="1" applyBorder="1" applyAlignment="1">
      <alignment vertical="center" wrapText="1"/>
    </xf>
    <xf numFmtId="9" fontId="2" fillId="0" borderId="30" xfId="79" applyFont="1" applyBorder="1" applyAlignment="1">
      <alignment horizontal="center" vertical="center" wrapText="1"/>
    </xf>
    <xf numFmtId="0" fontId="2" fillId="0" borderId="30" xfId="39" applyFont="1" applyBorder="1" applyAlignment="1">
      <alignment horizontal="right" vertical="center" wrapText="1"/>
    </xf>
    <xf numFmtId="193" fontId="2" fillId="0" borderId="30" xfId="44" applyNumberFormat="1" applyFont="1" applyBorder="1" applyAlignment="1">
      <alignment horizontal="center" vertical="center" wrapText="1"/>
    </xf>
    <xf numFmtId="193" fontId="25" fillId="0" borderId="30" xfId="49" applyNumberFormat="1" applyFont="1" applyBorder="1" applyAlignment="1">
      <alignment horizontal="center" vertical="center" wrapText="1"/>
    </xf>
    <xf numFmtId="0" fontId="39" fillId="0" borderId="30" xfId="44" applyFont="1" applyBorder="1" applyAlignment="1">
      <alignment horizontal="center" vertical="center" wrapText="1"/>
    </xf>
    <xf numFmtId="0" fontId="39" fillId="0" borderId="30" xfId="49" applyFont="1" applyBorder="1" applyAlignment="1">
      <alignment horizontal="left" vertical="center" wrapText="1"/>
    </xf>
    <xf numFmtId="3" fontId="25" fillId="0" borderId="30" xfId="49" applyNumberFormat="1" applyFont="1" applyBorder="1" applyAlignment="1">
      <alignment horizontal="center" vertical="center" wrapText="1"/>
    </xf>
    <xf numFmtId="9" fontId="8" fillId="0" borderId="30" xfId="79" applyFont="1" applyBorder="1" applyAlignment="1">
      <alignment horizontal="center" vertical="center" wrapText="1"/>
    </xf>
    <xf numFmtId="193" fontId="8" fillId="0" borderId="30" xfId="49" applyNumberFormat="1" applyFont="1" applyBorder="1" applyAlignment="1">
      <alignment horizontal="right" vertical="center" wrapText="1"/>
    </xf>
    <xf numFmtId="193" fontId="8" fillId="0" borderId="30" xfId="49" applyNumberFormat="1" applyFont="1" applyBorder="1" applyAlignment="1">
      <alignment horizontal="center" vertical="center" wrapText="1"/>
    </xf>
    <xf numFmtId="0" fontId="31" fillId="0" borderId="30" xfId="49" applyFont="1" applyBorder="1" applyAlignment="1">
      <alignment horizontal="left" vertical="center" wrapText="1"/>
    </xf>
    <xf numFmtId="172" fontId="25" fillId="0" borderId="30" xfId="69" applyNumberFormat="1" applyFont="1" applyFill="1" applyBorder="1" applyAlignment="1">
      <alignment horizontal="center" vertical="center" wrapText="1"/>
    </xf>
    <xf numFmtId="3" fontId="25" fillId="0" borderId="30" xfId="49" applyNumberFormat="1" applyFont="1" applyBorder="1" applyAlignment="1">
      <alignment horizontal="right" vertical="center" wrapText="1"/>
    </xf>
    <xf numFmtId="193" fontId="25" fillId="0" borderId="30" xfId="48" applyNumberFormat="1" applyFont="1" applyBorder="1" applyAlignment="1">
      <alignment horizontal="center" vertical="center" wrapText="1"/>
    </xf>
    <xf numFmtId="0" fontId="31" fillId="0" borderId="30" xfId="44" applyFont="1" applyBorder="1" applyAlignment="1">
      <alignment horizontal="left" vertical="center" wrapText="1"/>
    </xf>
    <xf numFmtId="3" fontId="8" fillId="0" borderId="30" xfId="49" applyNumberFormat="1" applyFont="1" applyBorder="1" applyAlignment="1">
      <alignment horizontal="right" vertical="center" wrapText="1"/>
    </xf>
    <xf numFmtId="0" fontId="39" fillId="0" borderId="30" xfId="44" applyFont="1" applyBorder="1" applyAlignment="1">
      <alignment vertical="center" wrapText="1"/>
    </xf>
    <xf numFmtId="3" fontId="25" fillId="0" borderId="30" xfId="39" applyNumberFormat="1" applyFont="1" applyBorder="1" applyAlignment="1">
      <alignment horizontal="center" vertical="center" wrapText="1"/>
    </xf>
    <xf numFmtId="0" fontId="70" fillId="0" borderId="30" xfId="49" applyFont="1" applyBorder="1" applyAlignment="1">
      <alignment vertical="center" wrapText="1"/>
    </xf>
    <xf numFmtId="3" fontId="70" fillId="0" borderId="30" xfId="49" applyNumberFormat="1" applyFont="1" applyBorder="1" applyAlignment="1">
      <alignment horizontal="right" vertical="center" wrapText="1"/>
    </xf>
    <xf numFmtId="3" fontId="2" fillId="0" borderId="30" xfId="49" applyNumberFormat="1" applyFont="1" applyBorder="1" applyAlignment="1">
      <alignment horizontal="right" vertical="center" wrapText="1"/>
    </xf>
    <xf numFmtId="0" fontId="0" fillId="0" borderId="30" xfId="0" applyBorder="1" applyAlignment="1">
      <alignment horizontal="left" vertical="center" wrapText="1"/>
    </xf>
    <xf numFmtId="0" fontId="109" fillId="0" borderId="30" xfId="0" applyFont="1" applyBorder="1" applyAlignment="1">
      <alignment vertical="center" wrapText="1"/>
    </xf>
    <xf numFmtId="0" fontId="0" fillId="0" borderId="30" xfId="0" applyBorder="1" applyAlignment="1">
      <alignment vertical="center" wrapText="1"/>
    </xf>
    <xf numFmtId="3" fontId="8" fillId="0" borderId="30" xfId="44" applyNumberFormat="1" applyFont="1" applyBorder="1" applyAlignment="1">
      <alignment horizontal="center" vertical="center" wrapText="1"/>
    </xf>
    <xf numFmtId="0" fontId="39" fillId="0" borderId="30" xfId="44" applyFont="1" applyBorder="1" applyAlignment="1">
      <alignment horizontal="left" vertical="center" wrapText="1"/>
    </xf>
    <xf numFmtId="0" fontId="30" fillId="0" borderId="30" xfId="44" applyFont="1" applyBorder="1" applyAlignment="1">
      <alignment horizontal="left" vertical="center" wrapText="1"/>
    </xf>
    <xf numFmtId="0" fontId="32" fillId="0" borderId="30" xfId="44" applyFont="1" applyBorder="1" applyAlignment="1">
      <alignment horizontal="left" vertical="center" wrapText="1"/>
    </xf>
    <xf numFmtId="14" fontId="25" fillId="0" borderId="30" xfId="49" applyNumberFormat="1" applyFont="1" applyBorder="1" applyAlignment="1">
      <alignment horizontal="right" vertical="center" wrapText="1"/>
    </xf>
    <xf numFmtId="0" fontId="8" fillId="0" borderId="30" xfId="39" applyFont="1" applyBorder="1" applyAlignment="1">
      <alignment vertical="center" wrapText="1"/>
    </xf>
    <xf numFmtId="0" fontId="73" fillId="0" borderId="30" xfId="89" applyFont="1" applyBorder="1" applyAlignment="1">
      <alignment vertical="center" wrapText="1"/>
    </xf>
    <xf numFmtId="0" fontId="25" fillId="0" borderId="30" xfId="39" applyFont="1" applyBorder="1" applyAlignment="1">
      <alignment vertical="center" wrapText="1"/>
    </xf>
    <xf numFmtId="0" fontId="8" fillId="0" borderId="30" xfId="39" applyFont="1" applyBorder="1" applyAlignment="1">
      <alignment horizontal="left" vertical="center" wrapText="1"/>
    </xf>
    <xf numFmtId="0" fontId="31" fillId="0" borderId="30" xfId="39" applyFont="1" applyBorder="1" applyAlignment="1">
      <alignment horizontal="left" vertical="center" wrapText="1"/>
    </xf>
    <xf numFmtId="3" fontId="70" fillId="0" borderId="30" xfId="44" applyNumberFormat="1" applyFont="1" applyBorder="1" applyAlignment="1">
      <alignment horizontal="center" vertical="center" wrapText="1"/>
    </xf>
    <xf numFmtId="0" fontId="32" fillId="0" borderId="30" xfId="44" applyFont="1" applyBorder="1" applyAlignment="1">
      <alignment horizontal="center" vertical="center" wrapText="1"/>
    </xf>
    <xf numFmtId="3" fontId="0" fillId="0" borderId="30" xfId="0" applyNumberFormat="1" applyBorder="1" applyAlignment="1">
      <alignment horizontal="center" vertical="center" wrapText="1"/>
    </xf>
    <xf numFmtId="187" fontId="31" fillId="0" borderId="30" xfId="17" applyNumberFormat="1" applyFont="1" applyFill="1" applyBorder="1" applyAlignment="1">
      <alignment horizontal="left" vertical="center" wrapText="1"/>
    </xf>
    <xf numFmtId="0" fontId="0" fillId="0" borderId="30" xfId="0" applyBorder="1" applyAlignment="1">
      <alignment wrapText="1"/>
    </xf>
    <xf numFmtId="0" fontId="25" fillId="0" borderId="0" xfId="49" applyFont="1" applyAlignment="1">
      <alignment horizontal="center" vertical="center" wrapText="1"/>
    </xf>
    <xf numFmtId="9" fontId="25" fillId="0" borderId="0" xfId="79" applyFont="1" applyBorder="1" applyAlignment="1">
      <alignment horizontal="center" vertical="center" wrapText="1"/>
    </xf>
    <xf numFmtId="0" fontId="0" fillId="0" borderId="0" xfId="0" applyAlignment="1">
      <alignment horizontal="center" vertical="center" wrapText="1"/>
    </xf>
    <xf numFmtId="3" fontId="25" fillId="0" borderId="0" xfId="49" applyNumberFormat="1" applyFont="1" applyAlignment="1">
      <alignment horizontal="center" vertical="center" wrapText="1"/>
    </xf>
    <xf numFmtId="0" fontId="25" fillId="0" borderId="0" xfId="39" applyFont="1" applyAlignment="1">
      <alignment horizontal="left" vertical="center" wrapText="1"/>
    </xf>
    <xf numFmtId="0" fontId="31" fillId="0" borderId="0" xfId="49" applyFont="1" applyAlignment="1">
      <alignment horizontal="left" vertical="center" wrapText="1"/>
    </xf>
    <xf numFmtId="187" fontId="25" fillId="0" borderId="0" xfId="17" applyNumberFormat="1" applyFont="1" applyFill="1" applyBorder="1" applyAlignment="1">
      <alignment horizontal="right" vertical="center" wrapText="1"/>
    </xf>
    <xf numFmtId="14" fontId="25" fillId="0" borderId="0" xfId="48" applyNumberFormat="1" applyFont="1" applyAlignment="1">
      <alignment horizontal="center" vertical="center" wrapText="1"/>
    </xf>
    <xf numFmtId="9" fontId="25" fillId="0" borderId="0" xfId="79" applyFont="1" applyFill="1" applyBorder="1" applyAlignment="1">
      <alignment horizontal="center" vertical="center" wrapText="1"/>
    </xf>
    <xf numFmtId="0" fontId="0" fillId="0" borderId="0" xfId="0" applyAlignment="1">
      <alignment vertical="top" wrapText="1"/>
    </xf>
    <xf numFmtId="0" fontId="25" fillId="0" borderId="0" xfId="49" applyFont="1" applyAlignment="1">
      <alignment horizontal="left" vertical="center" wrapText="1"/>
    </xf>
    <xf numFmtId="3" fontId="25" fillId="0" borderId="0" xfId="44" applyNumberFormat="1" applyFont="1" applyAlignment="1">
      <alignment horizontal="center" vertical="center" wrapText="1"/>
    </xf>
    <xf numFmtId="187" fontId="31" fillId="0" borderId="0" xfId="17" applyNumberFormat="1" applyFont="1" applyFill="1" applyBorder="1" applyAlignment="1">
      <alignment horizontal="left" vertical="center" wrapText="1"/>
    </xf>
    <xf numFmtId="0" fontId="25" fillId="0" borderId="0" xfId="44" applyFont="1" applyAlignment="1">
      <alignment horizontal="center" vertical="center" wrapText="1"/>
    </xf>
    <xf numFmtId="1" fontId="8" fillId="0" borderId="0" xfId="44" applyNumberFormat="1" applyFont="1" applyAlignment="1">
      <alignment horizontal="center" vertical="center"/>
    </xf>
    <xf numFmtId="0" fontId="8" fillId="0" borderId="0" xfId="49" applyFont="1" applyAlignment="1">
      <alignment horizontal="center" vertical="center"/>
    </xf>
    <xf numFmtId="9" fontId="8" fillId="0" borderId="0" xfId="79" applyFont="1" applyBorder="1" applyAlignment="1">
      <alignment horizontal="center" vertical="center"/>
    </xf>
    <xf numFmtId="3" fontId="8" fillId="0" borderId="0" xfId="22" applyNumberFormat="1" applyFont="1" applyFill="1" applyBorder="1" applyAlignment="1">
      <alignment vertical="center"/>
    </xf>
    <xf numFmtId="172" fontId="8" fillId="0" borderId="0" xfId="69" applyNumberFormat="1" applyFont="1" applyFill="1" applyBorder="1" applyAlignment="1">
      <alignment vertical="center"/>
    </xf>
    <xf numFmtId="0" fontId="110" fillId="0" borderId="0" xfId="0" applyFont="1" applyAlignment="1">
      <alignment vertical="top"/>
    </xf>
    <xf numFmtId="0" fontId="39" fillId="0" borderId="0" xfId="44" applyFont="1" applyAlignment="1">
      <alignment vertical="center"/>
    </xf>
    <xf numFmtId="0" fontId="8" fillId="0" borderId="0" xfId="44" applyFont="1" applyAlignment="1">
      <alignment horizontal="left" vertical="center"/>
    </xf>
    <xf numFmtId="9" fontId="8" fillId="0" borderId="0" xfId="69" applyFont="1" applyFill="1" applyBorder="1" applyAlignment="1">
      <alignment horizontal="center" vertical="center"/>
    </xf>
    <xf numFmtId="3" fontId="39" fillId="0" borderId="0" xfId="21" applyNumberFormat="1" applyFont="1" applyFill="1" applyBorder="1" applyAlignment="1">
      <alignment vertical="center"/>
    </xf>
    <xf numFmtId="0" fontId="32" fillId="0" borderId="42" xfId="49" applyFont="1" applyBorder="1" applyAlignment="1">
      <alignment horizontal="left" vertical="center" wrapText="1"/>
    </xf>
    <xf numFmtId="0" fontId="70" fillId="0" borderId="42" xfId="49" applyFont="1" applyBorder="1" applyAlignment="1">
      <alignment horizontal="center" vertical="center" wrapText="1"/>
    </xf>
    <xf numFmtId="0" fontId="70" fillId="0" borderId="42" xfId="39" applyFont="1" applyBorder="1" applyAlignment="1">
      <alignment horizontal="left" vertical="center" wrapText="1"/>
    </xf>
    <xf numFmtId="0" fontId="25" fillId="0" borderId="42" xfId="49" applyFont="1" applyBorder="1" applyAlignment="1">
      <alignment horizontal="center" vertical="center" wrapText="1"/>
    </xf>
    <xf numFmtId="0" fontId="70" fillId="0" borderId="42" xfId="44" applyFont="1" applyBorder="1" applyAlignment="1">
      <alignment vertical="center" wrapText="1"/>
    </xf>
    <xf numFmtId="0" fontId="70" fillId="0" borderId="42" xfId="39" applyFont="1" applyBorder="1" applyAlignment="1">
      <alignment vertical="center" wrapText="1"/>
    </xf>
    <xf numFmtId="0" fontId="70" fillId="0" borderId="42" xfId="44" applyFont="1" applyBorder="1" applyAlignment="1">
      <alignment horizontal="center" vertical="center" wrapText="1"/>
    </xf>
    <xf numFmtId="9" fontId="70" fillId="0" borderId="42" xfId="79" applyFont="1" applyBorder="1" applyAlignment="1">
      <alignment horizontal="center" vertical="center" wrapText="1"/>
    </xf>
    <xf numFmtId="9" fontId="25" fillId="0" borderId="42" xfId="79" applyFont="1" applyBorder="1" applyAlignment="1">
      <alignment horizontal="center" vertical="center" wrapText="1"/>
    </xf>
    <xf numFmtId="0" fontId="0" fillId="0" borderId="42" xfId="0" applyBorder="1" applyAlignment="1">
      <alignment horizontal="center" vertical="center" wrapText="1"/>
    </xf>
    <xf numFmtId="0" fontId="70" fillId="0" borderId="42" xfId="39" applyFont="1" applyBorder="1" applyAlignment="1">
      <alignment horizontal="right" vertical="center" wrapText="1"/>
    </xf>
    <xf numFmtId="193" fontId="70" fillId="0" borderId="42" xfId="44" applyNumberFormat="1" applyFont="1" applyBorder="1" applyAlignment="1">
      <alignment horizontal="center" vertical="center" wrapText="1"/>
    </xf>
    <xf numFmtId="193" fontId="70" fillId="0" borderId="42" xfId="39" applyNumberFormat="1" applyFont="1" applyBorder="1" applyAlignment="1">
      <alignment horizontal="center" vertical="center" wrapText="1"/>
    </xf>
    <xf numFmtId="0" fontId="31" fillId="0" borderId="42" xfId="44" applyFont="1" applyBorder="1" applyAlignment="1">
      <alignment vertical="center" wrapText="1"/>
    </xf>
    <xf numFmtId="0" fontId="31" fillId="0" borderId="31" xfId="44" applyFont="1" applyBorder="1" applyAlignment="1">
      <alignment horizontal="left" vertical="center" wrapText="1"/>
    </xf>
    <xf numFmtId="3" fontId="25" fillId="0" borderId="31" xfId="44" applyNumberFormat="1" applyFont="1" applyBorder="1" applyAlignment="1">
      <alignment horizontal="center" vertical="center" wrapText="1"/>
    </xf>
    <xf numFmtId="0" fontId="25" fillId="0" borderId="31" xfId="39" applyFont="1" applyBorder="1" applyAlignment="1">
      <alignment vertical="center" wrapText="1"/>
    </xf>
    <xf numFmtId="3" fontId="25" fillId="0" borderId="31" xfId="39" applyNumberFormat="1" applyFont="1" applyBorder="1" applyAlignment="1">
      <alignment horizontal="center" vertical="center" wrapText="1"/>
    </xf>
    <xf numFmtId="0" fontId="25" fillId="0" borderId="31" xfId="49" applyFont="1" applyBorder="1" applyAlignment="1">
      <alignment horizontal="left" vertical="center" wrapText="1"/>
    </xf>
    <xf numFmtId="14" fontId="25" fillId="0" borderId="31" xfId="48" applyNumberFormat="1" applyFont="1" applyBorder="1" applyAlignment="1">
      <alignment horizontal="center" vertical="center" wrapText="1"/>
    </xf>
    <xf numFmtId="0" fontId="31" fillId="0" borderId="31" xfId="44" applyFont="1" applyBorder="1" applyAlignment="1">
      <alignment vertical="center" wrapText="1"/>
    </xf>
    <xf numFmtId="0" fontId="33" fillId="0" borderId="42" xfId="0" applyFont="1" applyBorder="1" applyAlignment="1">
      <alignment horizontal="left" vertical="center" wrapText="1"/>
    </xf>
    <xf numFmtId="0" fontId="33" fillId="0" borderId="30" xfId="0" applyFont="1" applyBorder="1" applyAlignment="1">
      <alignment horizontal="left" vertical="center" wrapText="1"/>
    </xf>
    <xf numFmtId="9" fontId="25" fillId="0" borderId="30" xfId="79" applyFont="1" applyBorder="1" applyAlignment="1">
      <alignment vertical="center" wrapText="1"/>
    </xf>
    <xf numFmtId="9" fontId="8" fillId="0" borderId="30" xfId="79" applyFont="1" applyBorder="1" applyAlignment="1">
      <alignment vertical="center" wrapText="1"/>
    </xf>
    <xf numFmtId="9" fontId="70" fillId="0" borderId="30" xfId="79" applyFont="1" applyBorder="1" applyAlignment="1">
      <alignment vertical="center" wrapText="1"/>
    </xf>
    <xf numFmtId="9" fontId="2" fillId="0" borderId="30" xfId="79" applyFont="1" applyBorder="1" applyAlignment="1">
      <alignment vertical="center" wrapText="1"/>
    </xf>
    <xf numFmtId="9" fontId="0" fillId="0" borderId="30" xfId="79" applyFont="1" applyBorder="1" applyAlignment="1">
      <alignment vertical="center" wrapText="1"/>
    </xf>
    <xf numFmtId="3" fontId="8" fillId="0" borderId="30" xfId="44" applyNumberFormat="1" applyFont="1" applyBorder="1" applyAlignment="1">
      <alignment vertical="center" wrapText="1"/>
    </xf>
    <xf numFmtId="9" fontId="8" fillId="0" borderId="30" xfId="79" applyFont="1" applyFill="1" applyBorder="1" applyAlignment="1">
      <alignment vertical="center" wrapText="1"/>
    </xf>
    <xf numFmtId="9" fontId="70" fillId="0" borderId="30" xfId="79" applyFont="1" applyFill="1" applyBorder="1" applyAlignment="1">
      <alignment vertical="center" wrapText="1"/>
    </xf>
    <xf numFmtId="9" fontId="25" fillId="0" borderId="31" xfId="79" applyFont="1" applyBorder="1" applyAlignment="1">
      <alignment vertical="center" wrapText="1"/>
    </xf>
    <xf numFmtId="172" fontId="25" fillId="0" borderId="30" xfId="79" applyNumberFormat="1" applyFont="1" applyBorder="1" applyAlignment="1">
      <alignment vertical="center" wrapText="1"/>
    </xf>
    <xf numFmtId="172" fontId="0" fillId="0" borderId="30" xfId="0" applyNumberFormat="1" applyBorder="1" applyAlignment="1">
      <alignment horizontal="center" vertical="center" wrapText="1"/>
    </xf>
    <xf numFmtId="172" fontId="25" fillId="0" borderId="31" xfId="79" applyNumberFormat="1" applyFont="1" applyBorder="1" applyAlignment="1">
      <alignment vertical="center" wrapText="1"/>
    </xf>
    <xf numFmtId="3" fontId="25" fillId="0" borderId="30" xfId="17" applyNumberFormat="1" applyFont="1" applyFill="1" applyBorder="1" applyAlignment="1">
      <alignment horizontal="right" vertical="center" wrapText="1"/>
    </xf>
    <xf numFmtId="3" fontId="0" fillId="0" borderId="30" xfId="0" applyNumberFormat="1" applyBorder="1" applyAlignment="1">
      <alignment vertical="top" wrapText="1"/>
    </xf>
    <xf numFmtId="3" fontId="70" fillId="0" borderId="30" xfId="44" applyNumberFormat="1" applyFont="1" applyBorder="1" applyAlignment="1">
      <alignment horizontal="right" vertical="center" wrapText="1"/>
    </xf>
    <xf numFmtId="3" fontId="0" fillId="0" borderId="30" xfId="0" applyNumberFormat="1" applyBorder="1" applyAlignment="1">
      <alignment horizontal="right" vertical="center" wrapText="1"/>
    </xf>
    <xf numFmtId="3" fontId="8" fillId="0" borderId="30" xfId="44" applyNumberFormat="1" applyFont="1" applyBorder="1" applyAlignment="1">
      <alignment horizontal="right" vertical="center" wrapText="1"/>
    </xf>
    <xf numFmtId="3" fontId="2" fillId="0" borderId="30" xfId="44" applyNumberFormat="1" applyFont="1" applyBorder="1" applyAlignment="1">
      <alignment horizontal="right" vertical="center" wrapText="1"/>
    </xf>
    <xf numFmtId="3" fontId="70" fillId="0" borderId="30" xfId="87" applyNumberFormat="1" applyFont="1" applyFill="1" applyBorder="1" applyAlignment="1">
      <alignment horizontal="right" vertical="center" wrapText="1"/>
    </xf>
    <xf numFmtId="3" fontId="8" fillId="0" borderId="30" xfId="17" applyNumberFormat="1" applyFont="1" applyFill="1" applyBorder="1" applyAlignment="1">
      <alignment horizontal="right" vertical="center" wrapText="1"/>
    </xf>
    <xf numFmtId="3" fontId="25" fillId="0" borderId="30" xfId="44" applyNumberFormat="1" applyFont="1" applyBorder="1" applyAlignment="1">
      <alignment horizontal="right" vertical="center" wrapText="1"/>
    </xf>
    <xf numFmtId="3" fontId="25" fillId="0" borderId="31" xfId="17" applyNumberFormat="1" applyFont="1" applyFill="1" applyBorder="1" applyAlignment="1">
      <alignment horizontal="right" vertical="center" wrapText="1"/>
    </xf>
    <xf numFmtId="9" fontId="39" fillId="0" borderId="0" xfId="63" applyFont="1" applyFill="1" applyBorder="1" applyAlignment="1">
      <alignment horizontal="right" vertical="center" wrapText="1"/>
    </xf>
    <xf numFmtId="9" fontId="39" fillId="0" borderId="0" xfId="63" applyFont="1" applyFill="1" applyBorder="1" applyAlignment="1">
      <alignment vertical="center" wrapText="1"/>
    </xf>
    <xf numFmtId="9" fontId="31" fillId="0" borderId="0" xfId="63" applyFont="1" applyFill="1" applyBorder="1" applyAlignment="1">
      <alignment horizontal="right" vertical="center" wrapText="1"/>
    </xf>
    <xf numFmtId="3" fontId="31" fillId="0" borderId="0" xfId="0" applyNumberFormat="1" applyFont="1" applyAlignment="1">
      <alignment horizontal="center" vertical="center" wrapText="1"/>
    </xf>
    <xf numFmtId="0" fontId="39" fillId="0" borderId="0" xfId="0" applyFont="1" applyAlignment="1">
      <alignment horizontal="center" vertical="top" wrapText="1"/>
    </xf>
    <xf numFmtId="0" fontId="33" fillId="0" borderId="42" xfId="0" applyFont="1" applyBorder="1" applyAlignment="1">
      <alignment vertical="center" wrapText="1"/>
    </xf>
    <xf numFmtId="9" fontId="32" fillId="0" borderId="42" xfId="63" applyFont="1" applyFill="1" applyBorder="1" applyAlignment="1">
      <alignment horizontal="right" vertical="center" wrapText="1"/>
    </xf>
    <xf numFmtId="9" fontId="39" fillId="0" borderId="42" xfId="63" applyFont="1" applyFill="1" applyBorder="1" applyAlignment="1">
      <alignment horizontal="right" vertical="center" wrapText="1"/>
    </xf>
    <xf numFmtId="0" fontId="39" fillId="0" borderId="42" xfId="0" applyFont="1" applyBorder="1" applyAlignment="1">
      <alignment horizontal="left" vertical="center" wrapText="1"/>
    </xf>
    <xf numFmtId="9" fontId="39" fillId="0" borderId="42" xfId="63" applyFont="1" applyFill="1" applyBorder="1" applyAlignment="1">
      <alignment vertical="center" wrapText="1"/>
    </xf>
    <xf numFmtId="9" fontId="32" fillId="0" borderId="30" xfId="63" applyFont="1" applyFill="1" applyBorder="1" applyAlignment="1">
      <alignment horizontal="right" vertical="center" wrapText="1"/>
    </xf>
    <xf numFmtId="9" fontId="39" fillId="0" borderId="30" xfId="63" applyFont="1" applyFill="1" applyBorder="1" applyAlignment="1">
      <alignment horizontal="right" vertical="center" wrapText="1"/>
    </xf>
    <xf numFmtId="9" fontId="30" fillId="0" borderId="30" xfId="63" applyFont="1" applyFill="1" applyBorder="1" applyAlignment="1">
      <alignment horizontal="right" vertical="center" wrapText="1"/>
    </xf>
    <xf numFmtId="14" fontId="39" fillId="0" borderId="30" xfId="0" applyNumberFormat="1" applyFont="1" applyBorder="1" applyAlignment="1">
      <alignment horizontal="right" vertical="center" wrapText="1"/>
    </xf>
    <xf numFmtId="1" fontId="32" fillId="0" borderId="30" xfId="0" applyNumberFormat="1" applyFont="1" applyBorder="1" applyAlignment="1">
      <alignment horizontal="center" vertical="center" wrapText="1"/>
    </xf>
    <xf numFmtId="0" fontId="33" fillId="0" borderId="30" xfId="0" applyFont="1" applyBorder="1" applyAlignment="1">
      <alignment vertical="center" wrapText="1"/>
    </xf>
    <xf numFmtId="1" fontId="30" fillId="0" borderId="30" xfId="0" applyNumberFormat="1" applyFont="1" applyBorder="1" applyAlignment="1">
      <alignment horizontal="center" vertical="center" wrapText="1"/>
    </xf>
    <xf numFmtId="3" fontId="31" fillId="0" borderId="31" xfId="0" applyNumberFormat="1" applyFont="1" applyBorder="1" applyAlignment="1">
      <alignment horizontal="center" vertical="center" wrapText="1"/>
    </xf>
    <xf numFmtId="172" fontId="31" fillId="0" borderId="30" xfId="63" applyNumberFormat="1" applyFont="1" applyFill="1" applyBorder="1" applyAlignment="1">
      <alignment horizontal="right" vertical="center" wrapText="1"/>
    </xf>
    <xf numFmtId="172" fontId="31" fillId="0" borderId="30" xfId="63" applyNumberFormat="1" applyFont="1" applyFill="1" applyBorder="1" applyAlignment="1">
      <alignment horizontal="left" vertical="center" wrapText="1"/>
    </xf>
    <xf numFmtId="172" fontId="31" fillId="0" borderId="31" xfId="63" applyNumberFormat="1" applyFont="1" applyFill="1" applyBorder="1" applyAlignment="1">
      <alignment horizontal="right" vertical="center" wrapText="1"/>
    </xf>
    <xf numFmtId="14" fontId="31" fillId="0" borderId="31" xfId="0" applyNumberFormat="1" applyFont="1" applyBorder="1" applyAlignment="1">
      <alignment vertical="center" wrapText="1"/>
    </xf>
    <xf numFmtId="3" fontId="39" fillId="0" borderId="0" xfId="0" applyNumberFormat="1" applyFont="1" applyAlignment="1">
      <alignment horizontal="center" vertical="center" wrapText="1"/>
    </xf>
    <xf numFmtId="172" fontId="39" fillId="0" borderId="0" xfId="63" applyNumberFormat="1" applyFont="1" applyFill="1" applyBorder="1" applyAlignment="1">
      <alignment vertical="center" wrapText="1"/>
    </xf>
    <xf numFmtId="3" fontId="25" fillId="0" borderId="0" xfId="0" applyNumberFormat="1" applyFont="1" applyAlignment="1">
      <alignment vertical="center" wrapText="1"/>
    </xf>
    <xf numFmtId="0" fontId="70" fillId="0" borderId="42" xfId="49" applyFont="1" applyBorder="1" applyAlignment="1">
      <alignment vertical="center"/>
    </xf>
    <xf numFmtId="0" fontId="70" fillId="0" borderId="42" xfId="45" applyFont="1" applyBorder="1" applyAlignment="1">
      <alignment horizontal="center" vertical="center"/>
    </xf>
    <xf numFmtId="0" fontId="6" fillId="0" borderId="42" xfId="45" applyFont="1" applyBorder="1" applyAlignment="1">
      <alignment vertical="center"/>
    </xf>
    <xf numFmtId="0" fontId="70" fillId="0" borderId="42" xfId="49" applyFont="1" applyBorder="1" applyAlignment="1">
      <alignment horizontal="left" vertical="center" wrapText="1"/>
    </xf>
    <xf numFmtId="0" fontId="70" fillId="0" borderId="30" xfId="49" applyFont="1" applyBorder="1" applyAlignment="1">
      <alignment vertical="center"/>
    </xf>
    <xf numFmtId="0" fontId="70" fillId="0" borderId="30" xfId="45" applyFont="1" applyBorder="1" applyAlignment="1">
      <alignment horizontal="center" vertical="center"/>
    </xf>
    <xf numFmtId="0" fontId="70" fillId="0" borderId="30" xfId="49" applyFont="1" applyBorder="1" applyAlignment="1">
      <alignment horizontal="left" vertical="center" wrapText="1"/>
    </xf>
    <xf numFmtId="1" fontId="2" fillId="0" borderId="30" xfId="45" applyNumberFormat="1" applyFont="1" applyBorder="1" applyAlignment="1">
      <alignment horizontal="center" vertical="center" wrapText="1"/>
    </xf>
    <xf numFmtId="0" fontId="2" fillId="0" borderId="30" xfId="49" applyFont="1" applyBorder="1" applyAlignment="1">
      <alignment horizontal="left" vertical="center" wrapText="1"/>
    </xf>
    <xf numFmtId="4" fontId="8" fillId="0" borderId="30" xfId="49" applyNumberFormat="1" applyFont="1" applyBorder="1" applyAlignment="1">
      <alignment vertical="center" wrapText="1"/>
    </xf>
    <xf numFmtId="14" fontId="8" fillId="0" borderId="30" xfId="49" applyNumberFormat="1" applyFont="1" applyBorder="1" applyAlignment="1">
      <alignment horizontal="right" vertical="center" wrapText="1"/>
    </xf>
    <xf numFmtId="0" fontId="8" fillId="0" borderId="30" xfId="45" applyFont="1" applyBorder="1" applyAlignment="1">
      <alignment vertical="center"/>
    </xf>
    <xf numFmtId="3" fontId="8" fillId="0" borderId="30" xfId="0" applyNumberFormat="1" applyFont="1" applyBorder="1" applyAlignment="1">
      <alignment horizontal="center" vertical="center"/>
    </xf>
    <xf numFmtId="0" fontId="2" fillId="0" borderId="30" xfId="45" applyFont="1" applyBorder="1" applyAlignment="1">
      <alignment vertical="center"/>
    </xf>
    <xf numFmtId="172" fontId="25" fillId="0" borderId="30" xfId="69" applyNumberFormat="1" applyFont="1" applyFill="1" applyBorder="1" applyAlignment="1">
      <alignment horizontal="right" vertical="center" wrapText="1"/>
    </xf>
    <xf numFmtId="172" fontId="25" fillId="0" borderId="30" xfId="69" applyNumberFormat="1" applyFont="1" applyFill="1" applyBorder="1" applyAlignment="1">
      <alignment vertical="center"/>
    </xf>
    <xf numFmtId="0" fontId="25" fillId="0" borderId="30" xfId="45" applyFont="1" applyBorder="1" applyAlignment="1">
      <alignment horizontal="left" vertical="center" wrapText="1"/>
    </xf>
    <xf numFmtId="9" fontId="8" fillId="0" borderId="30" xfId="0" applyNumberFormat="1" applyFont="1" applyBorder="1" applyAlignment="1">
      <alignment horizontal="center" vertical="center"/>
    </xf>
    <xf numFmtId="9" fontId="25" fillId="0" borderId="30" xfId="79" applyFont="1" applyFill="1" applyBorder="1" applyAlignment="1">
      <alignment horizontal="center" vertical="center"/>
    </xf>
    <xf numFmtId="4" fontId="25" fillId="0" borderId="30" xfId="49" applyNumberFormat="1" applyFont="1" applyBorder="1" applyAlignment="1">
      <alignment vertical="center" wrapText="1"/>
    </xf>
    <xf numFmtId="1" fontId="25" fillId="0" borderId="30" xfId="49" applyNumberFormat="1" applyFont="1" applyBorder="1" applyAlignment="1">
      <alignment horizontal="right" vertical="center"/>
    </xf>
    <xf numFmtId="1" fontId="25" fillId="0" borderId="30" xfId="49" applyNumberFormat="1" applyFont="1" applyBorder="1" applyAlignment="1">
      <alignment horizontal="center" vertical="center"/>
    </xf>
    <xf numFmtId="1" fontId="25" fillId="0" borderId="30" xfId="79" applyNumberFormat="1" applyFont="1" applyFill="1" applyBorder="1" applyAlignment="1">
      <alignment horizontal="center" vertical="center"/>
    </xf>
    <xf numFmtId="172" fontId="8" fillId="0" borderId="30" xfId="0" applyNumberFormat="1" applyFont="1" applyBorder="1" applyAlignment="1">
      <alignment horizontal="center" vertical="center"/>
    </xf>
    <xf numFmtId="172" fontId="25" fillId="0" borderId="30" xfId="49" applyNumberFormat="1" applyFont="1" applyBorder="1" applyAlignment="1">
      <alignment horizontal="center" vertical="center"/>
    </xf>
    <xf numFmtId="1" fontId="25" fillId="0" borderId="30" xfId="39" applyNumberFormat="1" applyFont="1" applyBorder="1" applyAlignment="1">
      <alignment horizontal="center" vertical="center" wrapText="1"/>
    </xf>
    <xf numFmtId="10" fontId="25" fillId="0" borderId="30" xfId="0" applyNumberFormat="1" applyFont="1" applyBorder="1" applyAlignment="1">
      <alignment horizontal="center" vertical="center"/>
    </xf>
    <xf numFmtId="10" fontId="25" fillId="0" borderId="30" xfId="69" applyNumberFormat="1" applyFont="1" applyFill="1" applyBorder="1" applyAlignment="1">
      <alignment horizontal="right" vertical="center" wrapText="1"/>
    </xf>
    <xf numFmtId="0" fontId="42" fillId="0" borderId="30" xfId="0" applyFont="1" applyBorder="1" applyAlignment="1">
      <alignment horizontal="left" vertical="center"/>
    </xf>
    <xf numFmtId="0" fontId="25" fillId="0" borderId="30" xfId="44" applyFont="1" applyBorder="1" applyAlignment="1">
      <alignment vertical="top" wrapText="1"/>
    </xf>
    <xf numFmtId="1" fontId="25" fillId="0" borderId="30" xfId="45" applyNumberFormat="1" applyFont="1" applyBorder="1" applyAlignment="1">
      <alignment horizontal="center" vertical="center"/>
    </xf>
    <xf numFmtId="14" fontId="31" fillId="0" borderId="30" xfId="0" applyNumberFormat="1" applyFont="1" applyBorder="1" applyAlignment="1">
      <alignment horizontal="right" vertical="center" wrapText="1"/>
    </xf>
    <xf numFmtId="10" fontId="25" fillId="0" borderId="30" xfId="45" applyNumberFormat="1" applyFont="1" applyBorder="1" applyAlignment="1">
      <alignment horizontal="center" vertical="center"/>
    </xf>
    <xf numFmtId="10" fontId="25" fillId="0" borderId="30" xfId="69" applyNumberFormat="1" applyFont="1" applyFill="1" applyBorder="1" applyAlignment="1">
      <alignment horizontal="center" vertical="center"/>
    </xf>
    <xf numFmtId="3" fontId="31" fillId="0" borderId="30" xfId="49" applyNumberFormat="1" applyFont="1" applyBorder="1" applyAlignment="1">
      <alignment vertical="center" wrapText="1"/>
    </xf>
    <xf numFmtId="0" fontId="25" fillId="0" borderId="31" xfId="0" applyFont="1" applyBorder="1" applyAlignment="1">
      <alignment horizontal="left" vertical="center" wrapText="1"/>
    </xf>
    <xf numFmtId="9" fontId="25" fillId="0" borderId="31" xfId="79" applyFont="1" applyFill="1" applyBorder="1" applyAlignment="1">
      <alignment horizontal="center" vertical="center"/>
    </xf>
    <xf numFmtId="172" fontId="25" fillId="0" borderId="31" xfId="69" applyNumberFormat="1" applyFont="1" applyFill="1" applyBorder="1" applyAlignment="1">
      <alignment horizontal="right" vertical="center" wrapText="1"/>
    </xf>
    <xf numFmtId="172" fontId="25" fillId="0" borderId="31" xfId="69" applyNumberFormat="1" applyFont="1" applyFill="1" applyBorder="1" applyAlignment="1">
      <alignment vertical="center"/>
    </xf>
    <xf numFmtId="0" fontId="25" fillId="0" borderId="31" xfId="44" applyFont="1" applyBorder="1" applyAlignment="1">
      <alignment vertical="top" wrapText="1"/>
    </xf>
    <xf numFmtId="172" fontId="8" fillId="0" borderId="0" xfId="43" applyNumberFormat="1" applyFont="1" applyAlignment="1">
      <alignment horizontal="center" vertical="center"/>
    </xf>
    <xf numFmtId="9" fontId="8" fillId="0" borderId="0" xfId="69" applyFont="1" applyFill="1" applyAlignment="1">
      <alignment vertical="center"/>
    </xf>
    <xf numFmtId="172" fontId="25" fillId="0" borderId="30" xfId="69" applyNumberFormat="1" applyFont="1" applyFill="1" applyBorder="1" applyAlignment="1">
      <alignment horizontal="center" vertical="center"/>
    </xf>
    <xf numFmtId="14" fontId="8" fillId="0" borderId="30" xfId="49" applyNumberFormat="1" applyFont="1" applyBorder="1" applyAlignment="1">
      <alignment horizontal="center" vertical="center" wrapText="1"/>
    </xf>
    <xf numFmtId="10" fontId="25" fillId="0" borderId="30" xfId="69" applyNumberFormat="1" applyFont="1" applyFill="1" applyBorder="1" applyAlignment="1">
      <alignment horizontal="center" vertical="center" wrapText="1"/>
    </xf>
    <xf numFmtId="0" fontId="6" fillId="0" borderId="30" xfId="45" applyFont="1" applyBorder="1" applyAlignment="1">
      <alignment vertical="center"/>
    </xf>
    <xf numFmtId="0" fontId="103" fillId="0" borderId="30" xfId="44" applyFont="1" applyBorder="1" applyAlignment="1">
      <alignment vertical="center" wrapText="1"/>
    </xf>
    <xf numFmtId="0" fontId="70" fillId="0" borderId="30" xfId="44" applyFont="1" applyBorder="1" applyAlignment="1">
      <alignment horizontal="center" vertical="center"/>
    </xf>
    <xf numFmtId="0" fontId="70" fillId="0" borderId="30" xfId="44" applyFont="1" applyBorder="1" applyAlignment="1">
      <alignment horizontal="left" vertical="center"/>
    </xf>
    <xf numFmtId="0" fontId="70" fillId="0" borderId="30" xfId="45" applyFont="1" applyBorder="1" applyAlignment="1">
      <alignment horizontal="left" vertical="center"/>
    </xf>
    <xf numFmtId="0" fontId="25" fillId="0" borderId="30" xfId="45" applyFont="1" applyBorder="1" applyAlignment="1">
      <alignment horizontal="left" vertical="center"/>
    </xf>
    <xf numFmtId="0" fontId="70" fillId="0" borderId="30" xfId="45" applyFont="1" applyBorder="1" applyAlignment="1">
      <alignment vertical="center"/>
    </xf>
    <xf numFmtId="0" fontId="70" fillId="0" borderId="30" xfId="45" applyFont="1" applyBorder="1" applyAlignment="1">
      <alignment horizontal="right" vertical="center"/>
    </xf>
    <xf numFmtId="9" fontId="70" fillId="0" borderId="30" xfId="45" applyNumberFormat="1" applyFont="1" applyBorder="1" applyAlignment="1">
      <alignment horizontal="center" vertical="center"/>
    </xf>
    <xf numFmtId="10" fontId="25" fillId="0" borderId="30" xfId="63" applyNumberFormat="1" applyFont="1" applyFill="1" applyBorder="1" applyAlignment="1">
      <alignment vertical="center" wrapText="1"/>
    </xf>
    <xf numFmtId="41" fontId="70" fillId="0" borderId="30" xfId="87" applyFont="1" applyFill="1" applyBorder="1" applyAlignment="1">
      <alignment vertical="center"/>
    </xf>
    <xf numFmtId="0" fontId="2" fillId="0" borderId="30" xfId="44" applyFont="1" applyBorder="1" applyAlignment="1">
      <alignment horizontal="left" vertical="center"/>
    </xf>
    <xf numFmtId="0" fontId="2" fillId="0" borderId="30" xfId="45" applyFont="1" applyBorder="1" applyAlignment="1">
      <alignment horizontal="left" vertical="center"/>
    </xf>
    <xf numFmtId="0" fontId="2" fillId="0" borderId="30" xfId="45" applyFont="1" applyBorder="1" applyAlignment="1">
      <alignment horizontal="right" vertical="center"/>
    </xf>
    <xf numFmtId="9" fontId="2" fillId="0" borderId="30" xfId="45" applyNumberFormat="1" applyFont="1" applyBorder="1" applyAlignment="1">
      <alignment horizontal="center" vertical="center"/>
    </xf>
    <xf numFmtId="0" fontId="8" fillId="0" borderId="30" xfId="45" applyFont="1" applyBorder="1" applyAlignment="1">
      <alignment horizontal="left" vertical="center"/>
    </xf>
    <xf numFmtId="1" fontId="8" fillId="0" borderId="30" xfId="45" applyNumberFormat="1" applyFont="1" applyBorder="1" applyAlignment="1">
      <alignment horizontal="center" vertical="center"/>
    </xf>
    <xf numFmtId="1" fontId="25" fillId="0" borderId="30" xfId="45" applyNumberFormat="1" applyFont="1" applyBorder="1" applyAlignment="1">
      <alignment horizontal="left" vertical="center"/>
    </xf>
    <xf numFmtId="0" fontId="8" fillId="0" borderId="30" xfId="45" applyFont="1" applyBorder="1" applyAlignment="1">
      <alignment horizontal="right" vertical="center"/>
    </xf>
    <xf numFmtId="41" fontId="8" fillId="0" borderId="30" xfId="87" applyFont="1" applyFill="1" applyBorder="1" applyAlignment="1">
      <alignment vertical="center"/>
    </xf>
    <xf numFmtId="49" fontId="25" fillId="0" borderId="30" xfId="44" applyNumberFormat="1" applyFont="1" applyBorder="1" applyAlignment="1">
      <alignment horizontal="left" vertical="center"/>
    </xf>
    <xf numFmtId="0" fontId="25" fillId="0" borderId="30" xfId="45" applyFont="1" applyBorder="1" applyAlignment="1">
      <alignment horizontal="right" vertical="center"/>
    </xf>
    <xf numFmtId="9" fontId="25" fillId="0" borderId="30" xfId="45" applyNumberFormat="1" applyFont="1" applyBorder="1" applyAlignment="1">
      <alignment vertical="center"/>
    </xf>
    <xf numFmtId="1" fontId="25" fillId="0" borderId="30" xfId="45" applyNumberFormat="1" applyFont="1" applyBorder="1" applyAlignment="1">
      <alignment vertical="center"/>
    </xf>
    <xf numFmtId="172" fontId="25" fillId="0" borderId="30" xfId="63" applyNumberFormat="1" applyFont="1" applyFill="1" applyBorder="1" applyAlignment="1">
      <alignment horizontal="center" vertical="center" wrapText="1"/>
    </xf>
    <xf numFmtId="3" fontId="25" fillId="0" borderId="30" xfId="88" applyNumberFormat="1" applyFont="1" applyFill="1" applyBorder="1" applyAlignment="1">
      <alignment horizontal="right" vertical="center"/>
    </xf>
    <xf numFmtId="172" fontId="25" fillId="0" borderId="30" xfId="67" applyNumberFormat="1" applyFont="1" applyFill="1" applyBorder="1" applyAlignment="1">
      <alignment vertical="center"/>
    </xf>
    <xf numFmtId="10" fontId="25" fillId="0" borderId="30" xfId="0" applyNumberFormat="1" applyFont="1" applyBorder="1" applyAlignment="1">
      <alignment horizontal="right" vertical="center" wrapText="1"/>
    </xf>
    <xf numFmtId="3" fontId="25" fillId="0" borderId="30" xfId="0" applyNumberFormat="1" applyFont="1" applyBorder="1" applyAlignment="1">
      <alignment horizontal="right" vertical="center" wrapText="1"/>
    </xf>
    <xf numFmtId="14" fontId="25" fillId="0" borderId="30" xfId="45" applyNumberFormat="1" applyFont="1" applyBorder="1" applyAlignment="1">
      <alignment horizontal="center" vertical="center"/>
    </xf>
    <xf numFmtId="0" fontId="25" fillId="0" borderId="30" xfId="45" applyFont="1" applyBorder="1" applyAlignment="1">
      <alignment vertical="center"/>
    </xf>
    <xf numFmtId="0" fontId="39" fillId="0" borderId="30" xfId="0" applyFont="1" applyBorder="1" applyAlignment="1">
      <alignment vertical="top" wrapText="1"/>
    </xf>
    <xf numFmtId="0" fontId="76" fillId="0" borderId="30" xfId="45" applyFont="1" applyBorder="1" applyAlignment="1">
      <alignment horizontal="left" vertical="center"/>
    </xf>
    <xf numFmtId="0" fontId="25" fillId="0" borderId="30" xfId="63" applyNumberFormat="1" applyFont="1" applyFill="1" applyBorder="1" applyAlignment="1">
      <alignment horizontal="right" vertical="center"/>
    </xf>
    <xf numFmtId="0" fontId="109" fillId="0" borderId="30" xfId="0" applyFont="1" applyBorder="1" applyAlignment="1">
      <alignment horizontal="center" vertical="center" wrapText="1"/>
    </xf>
    <xf numFmtId="0" fontId="8" fillId="0" borderId="30" xfId="38" applyFont="1" applyBorder="1" applyAlignment="1">
      <alignment vertical="center" wrapText="1"/>
    </xf>
    <xf numFmtId="9" fontId="39" fillId="0" borderId="30" xfId="0" applyNumberFormat="1" applyFont="1" applyBorder="1" applyAlignment="1">
      <alignment horizontal="center" vertical="center" wrapText="1"/>
    </xf>
    <xf numFmtId="0" fontId="76" fillId="0" borderId="30" xfId="45" applyFont="1" applyBorder="1" applyAlignment="1">
      <alignment horizontal="center" vertical="center"/>
    </xf>
    <xf numFmtId="172" fontId="25" fillId="0" borderId="30" xfId="45" applyNumberFormat="1" applyFont="1" applyBorder="1" applyAlignment="1">
      <alignment horizontal="center" vertical="center"/>
    </xf>
    <xf numFmtId="41" fontId="25" fillId="0" borderId="30" xfId="87" applyFont="1" applyFill="1" applyBorder="1" applyAlignment="1">
      <alignment horizontal="right" vertical="center"/>
    </xf>
    <xf numFmtId="41" fontId="8" fillId="0" borderId="30" xfId="87" applyFont="1" applyFill="1" applyBorder="1" applyAlignment="1">
      <alignment horizontal="center" vertical="center"/>
    </xf>
    <xf numFmtId="0" fontId="25" fillId="0" borderId="30" xfId="0" applyFont="1" applyBorder="1" applyAlignment="1">
      <alignment horizontal="left" wrapText="1"/>
    </xf>
    <xf numFmtId="9" fontId="8" fillId="0" borderId="30" xfId="63" applyFont="1" applyFill="1" applyBorder="1" applyAlignment="1">
      <alignment vertical="center"/>
    </xf>
    <xf numFmtId="0" fontId="36" fillId="0" borderId="30" xfId="0" applyFont="1" applyBorder="1" applyAlignment="1">
      <alignment horizontal="left" wrapText="1"/>
    </xf>
    <xf numFmtId="194" fontId="8" fillId="0" borderId="30" xfId="87" applyNumberFormat="1" applyFont="1" applyFill="1" applyBorder="1" applyAlignment="1">
      <alignment horizontal="center" vertical="center" wrapText="1"/>
    </xf>
    <xf numFmtId="9" fontId="8" fillId="0" borderId="30" xfId="45" applyNumberFormat="1" applyFont="1" applyBorder="1" applyAlignment="1">
      <alignment vertical="center" wrapText="1"/>
    </xf>
    <xf numFmtId="41" fontId="8" fillId="0" borderId="30" xfId="87" applyFont="1" applyFill="1" applyBorder="1" applyAlignment="1">
      <alignment vertical="center" wrapText="1"/>
    </xf>
    <xf numFmtId="194" fontId="25" fillId="0" borderId="30" xfId="87" applyNumberFormat="1" applyFont="1" applyFill="1" applyBorder="1" applyAlignment="1">
      <alignment horizontal="center" vertical="center" wrapText="1"/>
    </xf>
    <xf numFmtId="3" fontId="25" fillId="0" borderId="30" xfId="88" applyNumberFormat="1" applyFont="1" applyFill="1" applyBorder="1" applyAlignment="1">
      <alignment horizontal="right" vertical="center" wrapText="1"/>
    </xf>
    <xf numFmtId="41" fontId="8" fillId="0" borderId="30" xfId="87" applyFont="1" applyFill="1" applyBorder="1" applyAlignment="1">
      <alignment horizontal="center" vertical="center" wrapText="1"/>
    </xf>
    <xf numFmtId="0" fontId="6" fillId="0" borderId="30" xfId="44" applyFont="1" applyBorder="1" applyAlignment="1">
      <alignment horizontal="center" vertical="center" wrapText="1"/>
    </xf>
    <xf numFmtId="49" fontId="103" fillId="0" borderId="30" xfId="44" applyNumberFormat="1" applyFont="1" applyBorder="1" applyAlignment="1">
      <alignment horizontal="left" vertical="center"/>
    </xf>
    <xf numFmtId="0" fontId="103" fillId="0" borderId="30" xfId="44" applyFont="1" applyBorder="1" applyAlignment="1">
      <alignment horizontal="left" vertical="center" wrapText="1"/>
    </xf>
    <xf numFmtId="0" fontId="6" fillId="0" borderId="30" xfId="44" applyFont="1" applyBorder="1" applyAlignment="1">
      <alignment horizontal="right" vertical="center" wrapText="1"/>
    </xf>
    <xf numFmtId="9" fontId="6" fillId="0" borderId="30" xfId="44" applyNumberFormat="1" applyFont="1" applyBorder="1" applyAlignment="1">
      <alignment vertical="center" wrapText="1"/>
    </xf>
    <xf numFmtId="41" fontId="6" fillId="0" borderId="30" xfId="87" applyFont="1" applyFill="1" applyBorder="1" applyAlignment="1">
      <alignment horizontal="center" vertical="center" wrapText="1"/>
    </xf>
    <xf numFmtId="0" fontId="70" fillId="0" borderId="30" xfId="44" applyFont="1" applyBorder="1" applyAlignment="1">
      <alignment vertical="center"/>
    </xf>
    <xf numFmtId="9" fontId="70" fillId="0" borderId="30" xfId="45" applyNumberFormat="1" applyFont="1" applyBorder="1" applyAlignment="1">
      <alignment vertical="center"/>
    </xf>
    <xf numFmtId="9" fontId="2" fillId="0" borderId="30" xfId="45" applyNumberFormat="1" applyFont="1" applyBorder="1" applyAlignment="1">
      <alignment vertical="center"/>
    </xf>
    <xf numFmtId="9" fontId="8" fillId="0" borderId="30" xfId="45" applyNumberFormat="1" applyFont="1" applyBorder="1" applyAlignment="1">
      <alignment vertical="center"/>
    </xf>
    <xf numFmtId="0" fontId="25" fillId="0" borderId="0" xfId="44" applyFont="1" applyAlignment="1">
      <alignment horizontal="center" vertical="center"/>
    </xf>
    <xf numFmtId="0" fontId="25" fillId="0" borderId="0" xfId="44" applyFont="1" applyAlignment="1">
      <alignment vertical="center" wrapText="1"/>
    </xf>
    <xf numFmtId="49" fontId="25" fillId="0" borderId="0" xfId="44" applyNumberFormat="1" applyFont="1" applyAlignment="1">
      <alignment horizontal="left" vertical="center"/>
    </xf>
    <xf numFmtId="1" fontId="25" fillId="0" borderId="0" xfId="44" applyNumberFormat="1" applyFont="1" applyAlignment="1">
      <alignment horizontal="center" vertical="center" wrapText="1"/>
    </xf>
    <xf numFmtId="0" fontId="25" fillId="0" borderId="0" xfId="44" applyFont="1" applyAlignment="1">
      <alignment horizontal="right" vertical="center" wrapText="1"/>
    </xf>
    <xf numFmtId="9" fontId="25" fillId="0" borderId="0" xfId="44" applyNumberFormat="1" applyFont="1" applyAlignment="1">
      <alignment vertical="center" wrapText="1"/>
    </xf>
    <xf numFmtId="0" fontId="25" fillId="0" borderId="0" xfId="45" applyFont="1" applyAlignment="1">
      <alignment horizontal="right" vertical="center" wrapText="1"/>
    </xf>
    <xf numFmtId="10" fontId="25" fillId="0" borderId="0" xfId="63" applyNumberFormat="1" applyFont="1" applyFill="1" applyBorder="1" applyAlignment="1">
      <alignment horizontal="right" vertical="center" wrapText="1"/>
    </xf>
    <xf numFmtId="9" fontId="25" fillId="0" borderId="0" xfId="79" applyFont="1" applyFill="1" applyBorder="1" applyAlignment="1">
      <alignment horizontal="center" vertical="center"/>
    </xf>
    <xf numFmtId="41" fontId="25" fillId="0" borderId="0" xfId="87" applyFont="1" applyFill="1" applyBorder="1" applyAlignment="1">
      <alignment vertical="center"/>
    </xf>
    <xf numFmtId="3" fontId="25" fillId="0" borderId="0" xfId="44" applyNumberFormat="1" applyFont="1" applyAlignment="1">
      <alignment horizontal="right" vertical="center"/>
    </xf>
    <xf numFmtId="14" fontId="25" fillId="0" borderId="0" xfId="45" applyNumberFormat="1" applyFont="1" applyAlignment="1">
      <alignment horizontal="center" vertical="center"/>
    </xf>
    <xf numFmtId="0" fontId="25" fillId="0" borderId="0" xfId="49" applyFont="1" applyAlignment="1">
      <alignment vertical="center" wrapText="1"/>
    </xf>
    <xf numFmtId="0" fontId="2" fillId="0" borderId="0" xfId="49" applyFont="1" applyAlignment="1">
      <alignment horizontal="center" vertical="center"/>
    </xf>
    <xf numFmtId="0" fontId="8" fillId="0" borderId="0" xfId="49" applyFont="1" applyAlignment="1">
      <alignment vertical="center"/>
    </xf>
    <xf numFmtId="0" fontId="25" fillId="0" borderId="0" xfId="49" applyFont="1" applyAlignment="1">
      <alignment vertical="center"/>
    </xf>
    <xf numFmtId="3" fontId="8" fillId="0" borderId="0" xfId="49" applyNumberFormat="1" applyFont="1" applyAlignment="1">
      <alignment horizontal="center" vertical="center"/>
    </xf>
    <xf numFmtId="1" fontId="25" fillId="0" borderId="0" xfId="49" applyNumberFormat="1" applyFont="1" applyAlignment="1">
      <alignment horizontal="center" vertical="center"/>
    </xf>
    <xf numFmtId="0" fontId="2" fillId="0" borderId="0" xfId="49" applyFont="1" applyAlignment="1">
      <alignment horizontal="left" vertical="center"/>
    </xf>
    <xf numFmtId="41" fontId="8" fillId="0" borderId="0" xfId="87" applyFont="1" applyFill="1" applyBorder="1" applyAlignment="1">
      <alignment vertical="center"/>
    </xf>
    <xf numFmtId="172" fontId="25" fillId="0" borderId="0" xfId="67" applyNumberFormat="1" applyFont="1" applyFill="1" applyBorder="1" applyAlignment="1">
      <alignment vertical="center"/>
    </xf>
    <xf numFmtId="0" fontId="2" fillId="0" borderId="0" xfId="49" applyFont="1" applyAlignment="1">
      <alignment vertical="center"/>
    </xf>
    <xf numFmtId="1" fontId="2" fillId="0" borderId="0" xfId="49" applyNumberFormat="1" applyFont="1" applyAlignment="1">
      <alignment horizontal="center" vertical="center"/>
    </xf>
    <xf numFmtId="41" fontId="2" fillId="0" borderId="0" xfId="49" applyNumberFormat="1" applyFont="1" applyAlignment="1">
      <alignment vertical="center"/>
    </xf>
    <xf numFmtId="44" fontId="105" fillId="0" borderId="0" xfId="88" applyFont="1" applyFill="1" applyBorder="1" applyAlignment="1">
      <alignment vertical="center"/>
    </xf>
    <xf numFmtId="10" fontId="2" fillId="0" borderId="0" xfId="63" applyNumberFormat="1" applyFont="1" applyFill="1" applyAlignment="1">
      <alignment vertical="center"/>
    </xf>
    <xf numFmtId="0" fontId="2" fillId="0" borderId="0" xfId="49" applyFont="1" applyAlignment="1">
      <alignment vertical="center" wrapText="1"/>
    </xf>
    <xf numFmtId="0" fontId="6" fillId="0" borderId="42" xfId="45" applyFont="1" applyBorder="1" applyAlignment="1">
      <alignment horizontal="center" vertical="center"/>
    </xf>
    <xf numFmtId="0" fontId="6" fillId="0" borderId="42" xfId="44" applyFont="1" applyBorder="1" applyAlignment="1">
      <alignment horizontal="left" vertical="center"/>
    </xf>
    <xf numFmtId="0" fontId="6" fillId="0" borderId="42" xfId="45" applyFont="1" applyBorder="1" applyAlignment="1">
      <alignment horizontal="left" vertical="center"/>
    </xf>
    <xf numFmtId="0" fontId="103" fillId="0" borderId="42" xfId="45" applyFont="1" applyBorder="1" applyAlignment="1">
      <alignment horizontal="left" vertical="center"/>
    </xf>
    <xf numFmtId="0" fontId="6" fillId="0" borderId="42" xfId="45" applyFont="1" applyBorder="1" applyAlignment="1">
      <alignment horizontal="right" vertical="center"/>
    </xf>
    <xf numFmtId="9" fontId="6" fillId="0" borderId="42" xfId="45" applyNumberFormat="1" applyFont="1" applyBorder="1" applyAlignment="1">
      <alignment horizontal="center" vertical="center"/>
    </xf>
    <xf numFmtId="0" fontId="103" fillId="0" borderId="42" xfId="44" applyFont="1" applyBorder="1" applyAlignment="1">
      <alignment vertical="center" wrapText="1"/>
    </xf>
    <xf numFmtId="10" fontId="103" fillId="0" borderId="42" xfId="63" applyNumberFormat="1" applyFont="1" applyFill="1" applyBorder="1" applyAlignment="1">
      <alignment vertical="center" wrapText="1"/>
    </xf>
    <xf numFmtId="41" fontId="6" fillId="0" borderId="42" xfId="87" applyFont="1" applyFill="1" applyBorder="1" applyAlignment="1">
      <alignment vertical="center"/>
    </xf>
    <xf numFmtId="0" fontId="109" fillId="0" borderId="31" xfId="0" applyFont="1" applyBorder="1" applyAlignment="1">
      <alignment horizontal="center" vertical="center" wrapText="1"/>
    </xf>
    <xf numFmtId="0" fontId="109" fillId="0" borderId="31" xfId="0" applyFont="1" applyBorder="1" applyAlignment="1">
      <alignment vertical="center" wrapText="1"/>
    </xf>
    <xf numFmtId="0" fontId="25" fillId="0" borderId="31" xfId="0" applyFont="1" applyBorder="1" applyAlignment="1">
      <alignment horizontal="right" vertical="center" wrapText="1"/>
    </xf>
    <xf numFmtId="10" fontId="25" fillId="0" borderId="31" xfId="0" applyNumberFormat="1" applyFont="1" applyBorder="1" applyAlignment="1">
      <alignment horizontal="right" vertical="center" wrapText="1"/>
    </xf>
    <xf numFmtId="3" fontId="25" fillId="0" borderId="31" xfId="0" applyNumberFormat="1" applyFont="1" applyBorder="1" applyAlignment="1">
      <alignment horizontal="right" vertical="center" wrapText="1"/>
    </xf>
    <xf numFmtId="172" fontId="25" fillId="0" borderId="31" xfId="67" applyNumberFormat="1" applyFont="1" applyFill="1" applyBorder="1" applyAlignment="1">
      <alignment vertical="center"/>
    </xf>
    <xf numFmtId="14" fontId="25" fillId="0" borderId="31" xfId="45" applyNumberFormat="1" applyFont="1" applyBorder="1" applyAlignment="1">
      <alignment horizontal="center" vertical="center"/>
    </xf>
    <xf numFmtId="172" fontId="25" fillId="0" borderId="30" xfId="63" applyNumberFormat="1" applyFont="1" applyFill="1" applyBorder="1" applyAlignment="1">
      <alignment vertical="center" wrapText="1"/>
    </xf>
    <xf numFmtId="172" fontId="25" fillId="0" borderId="31" xfId="0" applyNumberFormat="1" applyFont="1" applyBorder="1" applyAlignment="1">
      <alignment horizontal="right" vertical="center" wrapText="1"/>
    </xf>
    <xf numFmtId="172" fontId="8" fillId="0" borderId="0" xfId="49" applyNumberFormat="1" applyFont="1" applyAlignment="1">
      <alignment horizontal="center" vertical="center"/>
    </xf>
    <xf numFmtId="0" fontId="111" fillId="0" borderId="0" xfId="0" applyFont="1" applyAlignment="1">
      <alignment horizontal="center" vertical="center" wrapText="1"/>
    </xf>
    <xf numFmtId="0" fontId="111" fillId="0" borderId="0" xfId="0" applyFont="1" applyAlignment="1">
      <alignment vertical="center" wrapText="1"/>
    </xf>
    <xf numFmtId="184" fontId="111" fillId="0" borderId="0" xfId="0" applyNumberFormat="1" applyFont="1" applyAlignment="1">
      <alignment horizontal="center" vertical="center" wrapText="1"/>
    </xf>
    <xf numFmtId="177" fontId="111" fillId="0" borderId="0" xfId="0" applyNumberFormat="1" applyFont="1" applyAlignment="1">
      <alignment horizontal="center" vertical="center" wrapText="1"/>
    </xf>
    <xf numFmtId="172" fontId="111" fillId="0" borderId="0" xfId="0" applyNumberFormat="1" applyFont="1" applyAlignment="1">
      <alignment horizontal="right" vertical="center"/>
    </xf>
    <xf numFmtId="172" fontId="31" fillId="0" borderId="0" xfId="0" applyNumberFormat="1" applyFont="1" applyAlignment="1">
      <alignment horizontal="right" vertical="center"/>
    </xf>
    <xf numFmtId="0" fontId="39" fillId="0" borderId="42"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42" xfId="0" applyFont="1" applyBorder="1" applyAlignment="1">
      <alignment horizontal="right" vertical="center" wrapText="1"/>
    </xf>
    <xf numFmtId="0" fontId="39" fillId="0" borderId="42" xfId="0" applyFont="1" applyBorder="1" applyAlignment="1">
      <alignment horizontal="right" vertical="center" wrapText="1"/>
    </xf>
    <xf numFmtId="0" fontId="31" fillId="0" borderId="30" xfId="0" applyFont="1" applyBorder="1" applyAlignment="1">
      <alignment horizontal="right" vertical="center" wrapText="1"/>
    </xf>
    <xf numFmtId="0" fontId="39" fillId="0" borderId="30" xfId="0" applyFont="1" applyBorder="1" applyAlignment="1">
      <alignment horizontal="right" vertical="center" wrapText="1"/>
    </xf>
    <xf numFmtId="0" fontId="39" fillId="0" borderId="31" xfId="0" applyFont="1" applyBorder="1" applyAlignment="1">
      <alignment horizontal="center" vertical="center" wrapText="1"/>
    </xf>
    <xf numFmtId="1" fontId="31" fillId="0" borderId="30" xfId="0" applyNumberFormat="1" applyFont="1" applyBorder="1" applyAlignment="1">
      <alignment vertical="center" wrapText="1"/>
    </xf>
    <xf numFmtId="172" fontId="31" fillId="0" borderId="31" xfId="0" applyNumberFormat="1" applyFont="1" applyBorder="1" applyAlignment="1">
      <alignment vertical="center" wrapText="1"/>
    </xf>
    <xf numFmtId="3" fontId="31" fillId="0" borderId="30" xfId="0" applyNumberFormat="1" applyFont="1" applyBorder="1" applyAlignment="1">
      <alignment horizontal="right" vertical="center"/>
    </xf>
    <xf numFmtId="0" fontId="112" fillId="0" borderId="0" xfId="0" applyFont="1"/>
    <xf numFmtId="9" fontId="111" fillId="0" borderId="0" xfId="0" applyNumberFormat="1" applyFont="1" applyAlignment="1">
      <alignment vertical="center" wrapText="1"/>
    </xf>
    <xf numFmtId="172" fontId="31" fillId="0" borderId="0" xfId="0" applyNumberFormat="1" applyFont="1" applyAlignment="1">
      <alignment vertical="center" wrapText="1"/>
    </xf>
    <xf numFmtId="172" fontId="112" fillId="0" borderId="0" xfId="0" applyNumberFormat="1" applyFont="1"/>
    <xf numFmtId="172" fontId="39" fillId="0" borderId="0" xfId="0" applyNumberFormat="1" applyFont="1" applyAlignment="1">
      <alignment horizontal="center" vertical="center" wrapText="1"/>
    </xf>
    <xf numFmtId="172" fontId="39" fillId="0" borderId="0" xfId="0" applyNumberFormat="1" applyFont="1" applyAlignment="1">
      <alignment horizontal="right"/>
    </xf>
    <xf numFmtId="0" fontId="30" fillId="0" borderId="42" xfId="0" applyFont="1" applyBorder="1" applyAlignment="1">
      <alignment vertical="center" wrapText="1"/>
    </xf>
    <xf numFmtId="9" fontId="30" fillId="0" borderId="42" xfId="0" applyNumberFormat="1" applyFont="1" applyBorder="1" applyAlignment="1">
      <alignment vertical="center" wrapText="1"/>
    </xf>
    <xf numFmtId="9" fontId="30" fillId="0" borderId="30" xfId="0" applyNumberFormat="1" applyFont="1" applyBorder="1" applyAlignment="1">
      <alignment vertical="center" wrapText="1"/>
    </xf>
    <xf numFmtId="177" fontId="30" fillId="0" borderId="30" xfId="0" applyNumberFormat="1" applyFont="1" applyBorder="1" applyAlignment="1">
      <alignment vertical="center" wrapText="1"/>
    </xf>
    <xf numFmtId="184" fontId="31" fillId="0" borderId="30" xfId="0" applyNumberFormat="1" applyFont="1" applyBorder="1" applyAlignment="1">
      <alignment horizontal="center" vertical="center" wrapText="1"/>
    </xf>
    <xf numFmtId="177" fontId="31" fillId="0" borderId="30" xfId="0" applyNumberFormat="1" applyFont="1" applyBorder="1" applyAlignment="1">
      <alignment horizontal="center" vertical="center" wrapText="1"/>
    </xf>
    <xf numFmtId="184" fontId="31" fillId="0" borderId="31" xfId="0" applyNumberFormat="1" applyFont="1" applyBorder="1" applyAlignment="1">
      <alignment horizontal="center" vertical="center" wrapText="1"/>
    </xf>
    <xf numFmtId="177" fontId="31" fillId="0" borderId="31" xfId="0" applyNumberFormat="1" applyFont="1" applyBorder="1" applyAlignment="1">
      <alignment horizontal="center" vertical="center" wrapText="1"/>
    </xf>
    <xf numFmtId="9" fontId="39" fillId="0" borderId="30" xfId="0" applyNumberFormat="1" applyFont="1" applyBorder="1" applyAlignment="1">
      <alignment vertical="center" wrapText="1"/>
    </xf>
    <xf numFmtId="177" fontId="39" fillId="0" borderId="30" xfId="0" applyNumberFormat="1" applyFont="1" applyBorder="1" applyAlignment="1">
      <alignment vertical="center" wrapText="1"/>
    </xf>
    <xf numFmtId="49" fontId="39" fillId="0" borderId="30" xfId="0" applyNumberFormat="1" applyFont="1" applyBorder="1" applyAlignment="1">
      <alignment horizontal="center" vertical="center" wrapText="1"/>
    </xf>
    <xf numFmtId="9" fontId="2" fillId="0" borderId="30" xfId="68" applyFont="1" applyFill="1" applyBorder="1" applyAlignment="1">
      <alignment horizontal="right" vertical="center"/>
    </xf>
    <xf numFmtId="9" fontId="8" fillId="0" borderId="30" xfId="68" applyFont="1" applyFill="1" applyBorder="1" applyAlignment="1">
      <alignment horizontal="right" vertical="center" wrapText="1"/>
    </xf>
    <xf numFmtId="0" fontId="73" fillId="0" borderId="30" xfId="0" applyFont="1" applyBorder="1" applyAlignment="1">
      <alignment horizontal="center" vertical="center" wrapText="1"/>
    </xf>
    <xf numFmtId="9" fontId="25" fillId="0" borderId="30" xfId="49" applyNumberFormat="1" applyFont="1" applyBorder="1" applyAlignment="1">
      <alignment horizontal="right" vertical="center" wrapText="1"/>
    </xf>
    <xf numFmtId="14" fontId="25" fillId="4" borderId="30" xfId="44" applyNumberFormat="1" applyFont="1" applyFill="1" applyBorder="1" applyAlignment="1">
      <alignment vertical="center"/>
    </xf>
    <xf numFmtId="172" fontId="25" fillId="0" borderId="30" xfId="49" applyNumberFormat="1" applyFont="1" applyBorder="1" applyAlignment="1">
      <alignment horizontal="right" vertical="center" wrapText="1"/>
    </xf>
    <xf numFmtId="0" fontId="34" fillId="0" borderId="30" xfId="0" applyFont="1" applyBorder="1" applyAlignment="1">
      <alignment horizontal="center" vertical="center"/>
    </xf>
    <xf numFmtId="0" fontId="35" fillId="0" borderId="30" xfId="0" applyFont="1" applyBorder="1" applyAlignment="1">
      <alignment vertical="center" wrapText="1"/>
    </xf>
    <xf numFmtId="49" fontId="70" fillId="0" borderId="30" xfId="0" applyNumberFormat="1" applyFont="1" applyBorder="1" applyAlignment="1">
      <alignment vertical="center"/>
    </xf>
    <xf numFmtId="0" fontId="34" fillId="0" borderId="30" xfId="0" applyFont="1" applyBorder="1" applyAlignment="1">
      <alignment vertical="center" wrapText="1"/>
    </xf>
    <xf numFmtId="0" fontId="72" fillId="0" borderId="30" xfId="0" applyFont="1" applyBorder="1" applyAlignment="1">
      <alignment vertical="center" wrapText="1"/>
    </xf>
    <xf numFmtId="49" fontId="2" fillId="0" borderId="30" xfId="0" applyNumberFormat="1" applyFont="1" applyBorder="1" applyAlignment="1">
      <alignment vertical="center"/>
    </xf>
    <xf numFmtId="0" fontId="73" fillId="0" borderId="30" xfId="0" applyFont="1" applyBorder="1" applyAlignment="1">
      <alignment vertical="center" wrapText="1"/>
    </xf>
    <xf numFmtId="9" fontId="25" fillId="0" borderId="30" xfId="0" applyNumberFormat="1" applyFont="1" applyBorder="1" applyAlignment="1">
      <alignment horizontal="center" vertical="center"/>
    </xf>
    <xf numFmtId="9" fontId="25" fillId="0" borderId="30" xfId="68" applyFont="1" applyFill="1" applyBorder="1" applyAlignment="1">
      <alignment horizontal="right" vertical="center"/>
    </xf>
    <xf numFmtId="0" fontId="39" fillId="10" borderId="0" xfId="0" applyFont="1" applyFill="1" applyAlignment="1">
      <alignment vertical="center" wrapText="1"/>
    </xf>
    <xf numFmtId="172" fontId="39" fillId="10" borderId="0" xfId="0" applyNumberFormat="1" applyFont="1" applyFill="1" applyAlignment="1">
      <alignment vertical="center"/>
    </xf>
    <xf numFmtId="0" fontId="30" fillId="10" borderId="0" xfId="0" applyFont="1" applyFill="1" applyAlignment="1">
      <alignment horizontal="center" vertical="center"/>
    </xf>
    <xf numFmtId="0" fontId="30" fillId="10" borderId="0" xfId="0" applyFont="1" applyFill="1" applyAlignment="1">
      <alignment vertical="center" wrapText="1"/>
    </xf>
    <xf numFmtId="0" fontId="30" fillId="10" borderId="0" xfId="0" applyFont="1" applyFill="1" applyAlignment="1">
      <alignment vertical="center"/>
    </xf>
    <xf numFmtId="0" fontId="31" fillId="10" borderId="0" xfId="0" applyFont="1" applyFill="1" applyAlignment="1">
      <alignment vertical="center"/>
    </xf>
    <xf numFmtId="0" fontId="31" fillId="6" borderId="0" xfId="0" applyFont="1" applyFill="1" applyAlignment="1">
      <alignment vertical="center"/>
    </xf>
    <xf numFmtId="0" fontId="76" fillId="10" borderId="0" xfId="0" applyFont="1" applyFill="1" applyAlignment="1">
      <alignment vertical="center"/>
    </xf>
    <xf numFmtId="0" fontId="39" fillId="10" borderId="0" xfId="0" applyFont="1" applyFill="1" applyAlignment="1">
      <alignment horizontal="center" vertical="center"/>
    </xf>
    <xf numFmtId="0" fontId="30" fillId="6" borderId="0" xfId="0" applyFont="1" applyFill="1" applyAlignment="1">
      <alignment horizontal="left" vertical="center"/>
    </xf>
    <xf numFmtId="0" fontId="30" fillId="12" borderId="0" xfId="0" applyFont="1" applyFill="1" applyAlignment="1">
      <alignment horizontal="left" vertical="center"/>
    </xf>
    <xf numFmtId="0" fontId="31" fillId="4" borderId="0" xfId="0" applyFont="1" applyFill="1" applyAlignment="1">
      <alignment horizontal="left" vertical="center"/>
    </xf>
    <xf numFmtId="9" fontId="31" fillId="10" borderId="0" xfId="0" applyNumberFormat="1" applyFont="1" applyFill="1" applyAlignment="1">
      <alignment horizontal="center" vertical="center"/>
    </xf>
    <xf numFmtId="0" fontId="76" fillId="4" borderId="0" xfId="0" applyFont="1" applyFill="1" applyAlignment="1">
      <alignment vertical="center"/>
    </xf>
    <xf numFmtId="0" fontId="31" fillId="12" borderId="0" xfId="0" applyFont="1" applyFill="1" applyAlignment="1">
      <alignment vertical="center"/>
    </xf>
    <xf numFmtId="0" fontId="113" fillId="10" borderId="0" xfId="0" applyFont="1" applyFill="1" applyAlignment="1">
      <alignment vertical="center"/>
    </xf>
    <xf numFmtId="172" fontId="31" fillId="4" borderId="0" xfId="0" applyNumberFormat="1" applyFont="1" applyFill="1" applyAlignment="1">
      <alignment vertical="center"/>
    </xf>
    <xf numFmtId="172" fontId="31" fillId="10" borderId="0" xfId="0" applyNumberFormat="1" applyFont="1" applyFill="1" applyAlignment="1">
      <alignment vertical="center"/>
    </xf>
    <xf numFmtId="0" fontId="39" fillId="10" borderId="0" xfId="0" applyFont="1" applyFill="1" applyAlignment="1">
      <alignment vertical="center"/>
    </xf>
    <xf numFmtId="0" fontId="39" fillId="12" borderId="0" xfId="0" applyFont="1" applyFill="1" applyAlignment="1">
      <alignment horizontal="left" vertical="center"/>
    </xf>
    <xf numFmtId="3" fontId="39" fillId="10" borderId="0" xfId="0" applyNumberFormat="1" applyFont="1" applyFill="1" applyAlignment="1">
      <alignment vertical="center"/>
    </xf>
    <xf numFmtId="0" fontId="39" fillId="12" borderId="0" xfId="0" applyFont="1" applyFill="1" applyAlignment="1">
      <alignment vertical="center"/>
    </xf>
    <xf numFmtId="0" fontId="32" fillId="10" borderId="42" xfId="0" applyFont="1" applyFill="1" applyBorder="1" applyAlignment="1">
      <alignment horizontal="center" vertical="center" wrapText="1"/>
    </xf>
    <xf numFmtId="0" fontId="96" fillId="10" borderId="42" xfId="0" applyFont="1" applyFill="1" applyBorder="1" applyAlignment="1">
      <alignment horizontal="center" vertical="center"/>
    </xf>
    <xf numFmtId="0" fontId="97" fillId="10" borderId="42" xfId="0" applyFont="1" applyFill="1" applyBorder="1" applyAlignment="1">
      <alignment vertical="center" wrapText="1"/>
    </xf>
    <xf numFmtId="0" fontId="32" fillId="10" borderId="42" xfId="0" applyFont="1" applyFill="1" applyBorder="1" applyAlignment="1">
      <alignment vertical="center" wrapText="1"/>
    </xf>
    <xf numFmtId="0" fontId="32" fillId="10" borderId="42" xfId="0" applyFont="1" applyFill="1" applyBorder="1" applyAlignment="1">
      <alignment vertical="center"/>
    </xf>
    <xf numFmtId="0" fontId="32" fillId="10" borderId="42" xfId="0" applyFont="1" applyFill="1" applyBorder="1" applyAlignment="1">
      <alignment horizontal="center" vertical="center"/>
    </xf>
    <xf numFmtId="0" fontId="39" fillId="6" borderId="42" xfId="0" applyFont="1" applyFill="1" applyBorder="1" applyAlignment="1">
      <alignment horizontal="right" vertical="center"/>
    </xf>
    <xf numFmtId="0" fontId="31" fillId="0" borderId="42" xfId="0" applyFont="1" applyBorder="1" applyAlignment="1">
      <alignment vertical="center"/>
    </xf>
    <xf numFmtId="9" fontId="31" fillId="0" borderId="42" xfId="0" applyNumberFormat="1" applyFont="1" applyBorder="1" applyAlignment="1">
      <alignment vertical="center"/>
    </xf>
    <xf numFmtId="9" fontId="32" fillId="10" borderId="42" xfId="0" applyNumberFormat="1" applyFont="1" applyFill="1" applyBorder="1" applyAlignment="1">
      <alignment horizontal="left" vertical="center" wrapText="1"/>
    </xf>
    <xf numFmtId="3" fontId="39" fillId="10" borderId="42" xfId="0" applyNumberFormat="1" applyFont="1" applyFill="1" applyBorder="1" applyAlignment="1">
      <alignment vertical="center" wrapText="1"/>
    </xf>
    <xf numFmtId="3" fontId="45" fillId="10" borderId="42" xfId="0" applyNumberFormat="1" applyFont="1" applyFill="1" applyBorder="1" applyAlignment="1">
      <alignment vertical="center" wrapText="1"/>
    </xf>
    <xf numFmtId="3" fontId="45" fillId="0" borderId="42" xfId="0" applyNumberFormat="1" applyFont="1" applyBorder="1" applyAlignment="1">
      <alignment vertical="center"/>
    </xf>
    <xf numFmtId="0" fontId="42" fillId="0" borderId="42" xfId="0" applyFont="1" applyBorder="1" applyAlignment="1">
      <alignment vertical="center"/>
    </xf>
    <xf numFmtId="0" fontId="42" fillId="10" borderId="42" xfId="0" applyFont="1" applyFill="1" applyBorder="1" applyAlignment="1">
      <alignment vertical="center"/>
    </xf>
    <xf numFmtId="0" fontId="39" fillId="6" borderId="42" xfId="0" applyFont="1" applyFill="1" applyBorder="1" applyAlignment="1">
      <alignment horizontal="left" vertical="center" wrapText="1"/>
    </xf>
    <xf numFmtId="0" fontId="113" fillId="10" borderId="42" xfId="0" applyFont="1" applyFill="1" applyBorder="1" applyAlignment="1">
      <alignment horizontal="left" vertical="center" wrapText="1"/>
    </xf>
    <xf numFmtId="0" fontId="39" fillId="10" borderId="42" xfId="0" applyFont="1" applyFill="1" applyBorder="1" applyAlignment="1">
      <alignment vertical="center" wrapText="1"/>
    </xf>
    <xf numFmtId="0" fontId="32" fillId="10" borderId="30" xfId="0" applyFont="1" applyFill="1" applyBorder="1" applyAlignment="1">
      <alignment horizontal="center" vertical="center"/>
    </xf>
    <xf numFmtId="0" fontId="96" fillId="10" borderId="30" xfId="0" applyFont="1" applyFill="1" applyBorder="1" applyAlignment="1">
      <alignment horizontal="center" vertical="center"/>
    </xf>
    <xf numFmtId="0" fontId="96" fillId="10" borderId="30" xfId="0" applyFont="1" applyFill="1" applyBorder="1" applyAlignment="1">
      <alignment vertical="center" wrapText="1"/>
    </xf>
    <xf numFmtId="0" fontId="32" fillId="10" borderId="30" xfId="0" applyFont="1" applyFill="1" applyBorder="1" applyAlignment="1">
      <alignment vertical="center" wrapText="1"/>
    </xf>
    <xf numFmtId="0" fontId="32" fillId="10" borderId="30" xfId="0" applyFont="1" applyFill="1" applyBorder="1" applyAlignment="1">
      <alignment vertical="center"/>
    </xf>
    <xf numFmtId="0" fontId="39" fillId="6" borderId="30" xfId="0" applyFont="1" applyFill="1" applyBorder="1" applyAlignment="1">
      <alignment horizontal="right" vertical="center"/>
    </xf>
    <xf numFmtId="9" fontId="39" fillId="10" borderId="30" xfId="0" applyNumberFormat="1" applyFont="1" applyFill="1" applyBorder="1" applyAlignment="1">
      <alignment horizontal="left" vertical="center" wrapText="1"/>
    </xf>
    <xf numFmtId="3" fontId="39" fillId="10" borderId="30" xfId="0" applyNumberFormat="1" applyFont="1" applyFill="1" applyBorder="1" applyAlignment="1">
      <alignment vertical="center" wrapText="1"/>
    </xf>
    <xf numFmtId="3" fontId="45" fillId="10" borderId="30" xfId="0" applyNumberFormat="1" applyFont="1" applyFill="1" applyBorder="1" applyAlignment="1">
      <alignment vertical="center" wrapText="1"/>
    </xf>
    <xf numFmtId="3" fontId="45" fillId="0" borderId="30" xfId="0" applyNumberFormat="1" applyFont="1" applyBorder="1" applyAlignment="1">
      <alignment vertical="center"/>
    </xf>
    <xf numFmtId="172" fontId="39" fillId="10" borderId="30" xfId="0" applyNumberFormat="1" applyFont="1" applyFill="1" applyBorder="1" applyAlignment="1">
      <alignment vertical="center"/>
    </xf>
    <xf numFmtId="0" fontId="113" fillId="10" borderId="30" xfId="0" applyFont="1" applyFill="1" applyBorder="1" applyAlignment="1">
      <alignment horizontal="left" vertical="center" wrapText="1"/>
    </xf>
    <xf numFmtId="0" fontId="39" fillId="10" borderId="30" xfId="0" applyFont="1" applyFill="1" applyBorder="1" applyAlignment="1">
      <alignment vertical="center" wrapText="1"/>
    </xf>
    <xf numFmtId="0" fontId="30" fillId="10" borderId="30" xfId="0" applyFont="1" applyFill="1" applyBorder="1" applyAlignment="1">
      <alignment horizontal="center" vertical="center"/>
    </xf>
    <xf numFmtId="0" fontId="85" fillId="10" borderId="30" xfId="0" applyFont="1" applyFill="1" applyBorder="1" applyAlignment="1">
      <alignment horizontal="center" vertical="center"/>
    </xf>
    <xf numFmtId="0" fontId="85" fillId="10" borderId="30" xfId="0" applyFont="1" applyFill="1" applyBorder="1" applyAlignment="1">
      <alignment vertical="center" wrapText="1"/>
    </xf>
    <xf numFmtId="0" fontId="30" fillId="10" borderId="30" xfId="0" applyFont="1" applyFill="1" applyBorder="1" applyAlignment="1">
      <alignment vertical="center" wrapText="1"/>
    </xf>
    <xf numFmtId="0" fontId="30" fillId="10" borderId="30" xfId="0" applyFont="1" applyFill="1" applyBorder="1" applyAlignment="1">
      <alignment vertical="center"/>
    </xf>
    <xf numFmtId="9" fontId="39" fillId="10" borderId="30" xfId="0" applyNumberFormat="1" applyFont="1" applyFill="1" applyBorder="1" applyAlignment="1">
      <alignment horizontal="center" vertical="center"/>
    </xf>
    <xf numFmtId="0" fontId="56" fillId="0" borderId="30" xfId="0" applyFont="1" applyBorder="1"/>
    <xf numFmtId="0" fontId="56" fillId="10" borderId="30" xfId="0" applyFont="1" applyFill="1" applyBorder="1"/>
    <xf numFmtId="0" fontId="39" fillId="10" borderId="30" xfId="0" applyFont="1" applyFill="1" applyBorder="1" applyAlignment="1">
      <alignment horizontal="center" vertical="center" wrapText="1"/>
    </xf>
    <xf numFmtId="0" fontId="37" fillId="10" borderId="30" xfId="0" applyFont="1" applyFill="1" applyBorder="1" applyAlignment="1">
      <alignment horizontal="center" vertical="center" wrapText="1"/>
    </xf>
    <xf numFmtId="1" fontId="39" fillId="10" borderId="30" xfId="0" applyNumberFormat="1" applyFont="1" applyFill="1" applyBorder="1" applyAlignment="1">
      <alignment horizontal="center" vertical="center" wrapText="1"/>
    </xf>
    <xf numFmtId="0" fontId="37" fillId="10" borderId="30" xfId="0" applyFont="1" applyFill="1" applyBorder="1" applyAlignment="1">
      <alignment vertical="center" wrapText="1"/>
    </xf>
    <xf numFmtId="0" fontId="31" fillId="10" borderId="30" xfId="0" applyFont="1" applyFill="1" applyBorder="1" applyAlignment="1">
      <alignment horizontal="center" vertical="center" wrapText="1"/>
    </xf>
    <xf numFmtId="0" fontId="31" fillId="10" borderId="30" xfId="0" applyFont="1" applyFill="1" applyBorder="1" applyAlignment="1">
      <alignment vertical="center"/>
    </xf>
    <xf numFmtId="1" fontId="31" fillId="10" borderId="30" xfId="0" applyNumberFormat="1" applyFont="1" applyFill="1" applyBorder="1" applyAlignment="1">
      <alignment horizontal="center" vertical="center"/>
    </xf>
    <xf numFmtId="3" fontId="31" fillId="10" borderId="30" xfId="0" applyNumberFormat="1" applyFont="1" applyFill="1" applyBorder="1" applyAlignment="1">
      <alignment vertical="center" wrapText="1"/>
    </xf>
    <xf numFmtId="3" fontId="76" fillId="10" borderId="30" xfId="0" applyNumberFormat="1" applyFont="1" applyFill="1" applyBorder="1" applyAlignment="1">
      <alignment vertical="center" wrapText="1"/>
    </xf>
    <xf numFmtId="3" fontId="76" fillId="0" borderId="30" xfId="0" applyNumberFormat="1" applyFont="1" applyBorder="1" applyAlignment="1">
      <alignment vertical="center"/>
    </xf>
    <xf numFmtId="9" fontId="31" fillId="10" borderId="30" xfId="0" applyNumberFormat="1" applyFont="1" applyFill="1" applyBorder="1" applyAlignment="1">
      <alignment vertical="center"/>
    </xf>
    <xf numFmtId="0" fontId="31" fillId="10" borderId="30" xfId="0" applyFont="1" applyFill="1" applyBorder="1" applyAlignment="1">
      <alignment vertical="center" wrapText="1"/>
    </xf>
    <xf numFmtId="0" fontId="31" fillId="10" borderId="30" xfId="0" applyFont="1" applyFill="1" applyBorder="1" applyAlignment="1">
      <alignment horizontal="center" vertical="center"/>
    </xf>
    <xf numFmtId="172" fontId="31" fillId="6" borderId="30" xfId="0" applyNumberFormat="1" applyFont="1" applyFill="1" applyBorder="1" applyAlignment="1">
      <alignment horizontal="right" vertical="center"/>
    </xf>
    <xf numFmtId="0" fontId="31" fillId="10" borderId="30" xfId="0" applyFont="1" applyFill="1" applyBorder="1" applyAlignment="1">
      <alignment horizontal="left" vertical="center" wrapText="1"/>
    </xf>
    <xf numFmtId="1" fontId="32" fillId="10" borderId="30" xfId="0" applyNumberFormat="1" applyFont="1" applyFill="1" applyBorder="1" applyAlignment="1">
      <alignment horizontal="center" vertical="center" wrapText="1"/>
    </xf>
    <xf numFmtId="9" fontId="31" fillId="10" borderId="30" xfId="0" applyNumberFormat="1" applyFont="1" applyFill="1" applyBorder="1" applyAlignment="1">
      <alignment horizontal="center" vertical="center" wrapText="1"/>
    </xf>
    <xf numFmtId="1" fontId="30" fillId="10" borderId="30" xfId="0" applyNumberFormat="1" applyFont="1" applyFill="1" applyBorder="1" applyAlignment="1">
      <alignment horizontal="center" vertical="center" wrapText="1"/>
    </xf>
    <xf numFmtId="0" fontId="76" fillId="10" borderId="30" xfId="0" applyFont="1" applyFill="1" applyBorder="1" applyAlignment="1">
      <alignment vertical="center"/>
    </xf>
    <xf numFmtId="0" fontId="39" fillId="10" borderId="30" xfId="0" applyFont="1" applyFill="1" applyBorder="1" applyAlignment="1">
      <alignment horizontal="center" vertical="center"/>
    </xf>
    <xf numFmtId="9" fontId="31" fillId="10" borderId="30" xfId="0" applyNumberFormat="1" applyFont="1" applyFill="1" applyBorder="1" applyAlignment="1">
      <alignment vertical="center" wrapText="1"/>
    </xf>
    <xf numFmtId="0" fontId="25" fillId="0" borderId="30" xfId="44" applyFont="1" applyBorder="1" applyAlignment="1">
      <alignment horizontal="left" vertical="top" wrapText="1"/>
    </xf>
    <xf numFmtId="0" fontId="11" fillId="0" borderId="31" xfId="0" applyFont="1" applyBorder="1" applyAlignment="1">
      <alignment horizontal="left" vertical="center" wrapText="1"/>
    </xf>
    <xf numFmtId="3" fontId="11" fillId="0" borderId="31" xfId="0" applyNumberFormat="1" applyFont="1" applyBorder="1" applyAlignment="1">
      <alignment horizontal="center" vertical="center" wrapText="1"/>
    </xf>
    <xf numFmtId="0" fontId="11" fillId="4" borderId="31" xfId="0" applyFont="1" applyFill="1" applyBorder="1" applyAlignment="1">
      <alignment vertical="center" wrapText="1"/>
    </xf>
    <xf numFmtId="9" fontId="11" fillId="0" borderId="31" xfId="79" applyFont="1" applyBorder="1" applyAlignment="1">
      <alignment vertical="center" wrapText="1"/>
    </xf>
    <xf numFmtId="3" fontId="25" fillId="4" borderId="31" xfId="49" applyNumberFormat="1" applyFont="1" applyFill="1" applyBorder="1" applyAlignment="1">
      <alignment vertical="center" wrapText="1"/>
    </xf>
    <xf numFmtId="172" fontId="11" fillId="0" borderId="31" xfId="0" applyNumberFormat="1" applyFont="1" applyBorder="1" applyAlignment="1">
      <alignment vertical="center" wrapText="1"/>
    </xf>
    <xf numFmtId="14" fontId="11" fillId="4" borderId="31" xfId="0" applyNumberFormat="1" applyFont="1" applyFill="1" applyBorder="1" applyAlignment="1">
      <alignment vertical="center" wrapText="1"/>
    </xf>
    <xf numFmtId="14" fontId="25" fillId="4" borderId="31" xfId="44" applyNumberFormat="1" applyFont="1" applyFill="1" applyBorder="1" applyAlignment="1">
      <alignment vertical="center"/>
    </xf>
    <xf numFmtId="14" fontId="31" fillId="12" borderId="30" xfId="0" applyNumberFormat="1" applyFont="1" applyFill="1" applyBorder="1" applyAlignment="1">
      <alignment vertical="center"/>
    </xf>
    <xf numFmtId="1" fontId="31" fillId="10" borderId="30" xfId="0" applyNumberFormat="1" applyFont="1" applyFill="1" applyBorder="1" applyAlignment="1">
      <alignment vertical="center" wrapText="1"/>
    </xf>
    <xf numFmtId="0" fontId="114" fillId="4" borderId="30" xfId="0" applyFont="1" applyFill="1" applyBorder="1" applyAlignment="1">
      <alignment vertical="center" wrapText="1"/>
    </xf>
    <xf numFmtId="14" fontId="31" fillId="6" borderId="30" xfId="0" applyNumberFormat="1" applyFont="1" applyFill="1" applyBorder="1" applyAlignment="1">
      <alignment vertical="center"/>
    </xf>
    <xf numFmtId="0" fontId="115" fillId="0" borderId="30" xfId="0" applyFont="1" applyBorder="1" applyAlignment="1">
      <alignment vertical="top" wrapText="1"/>
    </xf>
    <xf numFmtId="0" fontId="36" fillId="0" borderId="30" xfId="0" applyFont="1" applyBorder="1" applyAlignment="1">
      <alignment vertical="top" wrapText="1"/>
    </xf>
    <xf numFmtId="172" fontId="31" fillId="10" borderId="30" xfId="0" applyNumberFormat="1" applyFont="1" applyFill="1" applyBorder="1" applyAlignment="1">
      <alignment vertical="center"/>
    </xf>
    <xf numFmtId="0" fontId="39" fillId="4" borderId="0" xfId="0" applyFont="1" applyFill="1" applyAlignment="1">
      <alignment horizontal="left" vertical="center"/>
    </xf>
    <xf numFmtId="0" fontId="39" fillId="4" borderId="0" xfId="0" applyFont="1" applyFill="1" applyAlignment="1">
      <alignment vertical="center"/>
    </xf>
    <xf numFmtId="172" fontId="39" fillId="4" borderId="0" xfId="0" applyNumberFormat="1" applyFont="1" applyFill="1" applyAlignment="1">
      <alignment vertical="center"/>
    </xf>
    <xf numFmtId="0" fontId="86" fillId="10" borderId="0" xfId="0" applyFont="1" applyFill="1" applyAlignment="1">
      <alignment vertical="center"/>
    </xf>
    <xf numFmtId="0" fontId="59" fillId="4" borderId="0" xfId="0" applyFont="1" applyFill="1"/>
    <xf numFmtId="172" fontId="100" fillId="0" borderId="56" xfId="63" applyNumberFormat="1" applyFont="1" applyFill="1" applyBorder="1" applyAlignment="1">
      <alignment horizontal="center" vertical="center" wrapText="1"/>
    </xf>
    <xf numFmtId="9" fontId="100" fillId="0" borderId="56" xfId="63" applyFont="1" applyFill="1" applyBorder="1" applyAlignment="1">
      <alignment horizontal="center" vertical="center" wrapText="1"/>
    </xf>
    <xf numFmtId="0" fontId="117" fillId="0" borderId="55" xfId="0" applyFont="1" applyBorder="1" applyAlignment="1">
      <alignment horizontal="center" vertical="center" wrapText="1"/>
    </xf>
    <xf numFmtId="1" fontId="117" fillId="0" borderId="55" xfId="0" applyNumberFormat="1" applyFont="1" applyBorder="1" applyAlignment="1">
      <alignment horizontal="center"/>
    </xf>
    <xf numFmtId="0" fontId="117" fillId="0" borderId="55" xfId="0" applyFont="1" applyBorder="1" applyAlignment="1">
      <alignment horizontal="center"/>
    </xf>
    <xf numFmtId="0" fontId="118" fillId="0" borderId="55" xfId="0" applyFont="1" applyBorder="1" applyAlignment="1">
      <alignment horizontal="left"/>
    </xf>
    <xf numFmtId="0" fontId="117" fillId="0" borderId="55" xfId="0" applyFont="1" applyBorder="1"/>
    <xf numFmtId="0" fontId="117" fillId="0" borderId="55" xfId="0" applyFont="1" applyBorder="1" applyAlignment="1">
      <alignment horizontal="center" vertical="center"/>
    </xf>
    <xf numFmtId="0" fontId="117" fillId="0" borderId="56" xfId="0" applyFont="1" applyBorder="1" applyAlignment="1">
      <alignment horizontal="center" vertical="center" wrapText="1"/>
    </xf>
    <xf numFmtId="1" fontId="117" fillId="0" borderId="56" xfId="0" applyNumberFormat="1" applyFont="1" applyBorder="1" applyAlignment="1">
      <alignment horizontal="center" vertical="center"/>
    </xf>
    <xf numFmtId="1" fontId="117" fillId="0" borderId="56" xfId="0" applyNumberFormat="1" applyFont="1" applyBorder="1" applyAlignment="1">
      <alignment horizontal="center" vertical="center" wrapText="1"/>
    </xf>
    <xf numFmtId="0" fontId="117" fillId="0" borderId="56" xfId="0" applyFont="1" applyBorder="1" applyAlignment="1">
      <alignment horizontal="left" vertical="center" wrapText="1"/>
    </xf>
    <xf numFmtId="0" fontId="117" fillId="0" borderId="56" xfId="0" applyFont="1" applyBorder="1" applyAlignment="1">
      <alignment vertical="center"/>
    </xf>
    <xf numFmtId="0" fontId="117" fillId="0" borderId="56" xfId="0" applyFont="1" applyBorder="1" applyAlignment="1">
      <alignment horizontal="center" vertical="center"/>
    </xf>
    <xf numFmtId="177" fontId="117" fillId="0" borderId="56" xfId="0" applyNumberFormat="1" applyFont="1" applyBorder="1" applyAlignment="1">
      <alignment horizontal="right" vertical="center" wrapText="1"/>
    </xf>
    <xf numFmtId="0" fontId="117" fillId="0" borderId="56" xfId="0" applyFont="1" applyBorder="1" applyAlignment="1">
      <alignment vertical="center" wrapText="1"/>
    </xf>
    <xf numFmtId="0" fontId="119" fillId="0" borderId="56" xfId="0" applyFont="1" applyBorder="1" applyAlignment="1">
      <alignment horizontal="center" vertical="center" wrapText="1"/>
    </xf>
    <xf numFmtId="1" fontId="119" fillId="0" borderId="56" xfId="0" applyNumberFormat="1" applyFont="1" applyBorder="1" applyAlignment="1">
      <alignment horizontal="center" vertical="center"/>
    </xf>
    <xf numFmtId="1" fontId="119" fillId="0" borderId="56" xfId="0" applyNumberFormat="1" applyFont="1" applyBorder="1" applyAlignment="1">
      <alignment horizontal="center" vertical="center" wrapText="1"/>
    </xf>
    <xf numFmtId="0" fontId="119" fillId="0" borderId="56" xfId="0" applyFont="1" applyBorder="1" applyAlignment="1">
      <alignment horizontal="left" vertical="center" wrapText="1"/>
    </xf>
    <xf numFmtId="0" fontId="119" fillId="0" borderId="56" xfId="0" applyFont="1" applyBorder="1" applyAlignment="1">
      <alignment vertical="center"/>
    </xf>
    <xf numFmtId="0" fontId="119" fillId="0" borderId="56" xfId="0" applyFont="1" applyBorder="1" applyAlignment="1">
      <alignment horizontal="center" vertical="center"/>
    </xf>
    <xf numFmtId="177" fontId="119" fillId="0" borderId="56" xfId="0" applyNumberFormat="1" applyFont="1" applyBorder="1" applyAlignment="1">
      <alignment horizontal="right" vertical="center" wrapText="1"/>
    </xf>
    <xf numFmtId="0" fontId="119" fillId="0" borderId="56" xfId="0" applyFont="1" applyBorder="1" applyAlignment="1">
      <alignment vertical="center" wrapText="1"/>
    </xf>
    <xf numFmtId="0" fontId="100" fillId="0" borderId="56" xfId="0" applyFont="1" applyBorder="1" applyAlignment="1">
      <alignment horizontal="center" vertical="center"/>
    </xf>
    <xf numFmtId="1" fontId="120" fillId="0" borderId="56" xfId="0" applyNumberFormat="1" applyFont="1" applyBorder="1" applyAlignment="1">
      <alignment horizontal="center" vertical="center"/>
    </xf>
    <xf numFmtId="0" fontId="120" fillId="0" borderId="56" xfId="0" applyFont="1" applyBorder="1" applyAlignment="1">
      <alignment horizontal="left" vertical="center" wrapText="1"/>
    </xf>
    <xf numFmtId="0" fontId="100" fillId="0" borderId="56" xfId="0" applyFont="1" applyBorder="1" applyAlignment="1">
      <alignment horizontal="center" vertical="center" wrapText="1"/>
    </xf>
    <xf numFmtId="0" fontId="100" fillId="0" borderId="56" xfId="0" applyFont="1" applyBorder="1" applyAlignment="1">
      <alignment horizontal="left" vertical="center" wrapText="1"/>
    </xf>
    <xf numFmtId="0" fontId="100" fillId="0" borderId="56" xfId="0" applyFont="1" applyBorder="1" applyAlignment="1">
      <alignment vertical="center" wrapText="1"/>
    </xf>
    <xf numFmtId="3" fontId="100" fillId="0" borderId="56" xfId="0" applyNumberFormat="1" applyFont="1" applyBorder="1" applyAlignment="1">
      <alignment vertical="center" wrapText="1"/>
    </xf>
    <xf numFmtId="0" fontId="100" fillId="0" borderId="56" xfId="0" applyFont="1" applyBorder="1" applyAlignment="1">
      <alignment vertical="center"/>
    </xf>
    <xf numFmtId="9" fontId="100" fillId="0" borderId="56" xfId="0" applyNumberFormat="1" applyFont="1" applyBorder="1" applyAlignment="1">
      <alignment vertical="center"/>
    </xf>
    <xf numFmtId="172" fontId="100" fillId="0" borderId="56" xfId="0" applyNumberFormat="1" applyFont="1" applyBorder="1" applyAlignment="1">
      <alignment vertical="center" wrapText="1"/>
    </xf>
    <xf numFmtId="3" fontId="100" fillId="0" borderId="56" xfId="0" applyNumberFormat="1" applyFont="1" applyBorder="1" applyAlignment="1">
      <alignment vertical="center"/>
    </xf>
    <xf numFmtId="172" fontId="100" fillId="0" borderId="56" xfId="0" applyNumberFormat="1" applyFont="1" applyBorder="1" applyAlignment="1">
      <alignment horizontal="right" vertical="center"/>
    </xf>
    <xf numFmtId="177" fontId="100" fillId="0" borderId="56" xfId="0" applyNumberFormat="1" applyFont="1" applyBorder="1" applyAlignment="1">
      <alignment horizontal="center" vertical="center"/>
    </xf>
    <xf numFmtId="172" fontId="100" fillId="0" borderId="56" xfId="0" applyNumberFormat="1" applyFont="1" applyBorder="1" applyAlignment="1">
      <alignment vertical="center"/>
    </xf>
    <xf numFmtId="3" fontId="100" fillId="0" borderId="56" xfId="0" applyNumberFormat="1" applyFont="1" applyBorder="1" applyAlignment="1">
      <alignment horizontal="right" vertical="center"/>
    </xf>
    <xf numFmtId="0" fontId="120" fillId="0" borderId="56" xfId="0" applyFont="1" applyBorder="1" applyAlignment="1">
      <alignment horizontal="center" vertical="center"/>
    </xf>
    <xf numFmtId="0" fontId="120" fillId="0" borderId="56" xfId="0" applyFont="1" applyBorder="1" applyAlignment="1">
      <alignment vertical="center" wrapText="1"/>
    </xf>
    <xf numFmtId="9" fontId="100" fillId="0" borderId="56" xfId="0" applyNumberFormat="1" applyFont="1" applyBorder="1" applyAlignment="1">
      <alignment horizontal="center" vertical="center"/>
    </xf>
    <xf numFmtId="0" fontId="118" fillId="0" borderId="56" xfId="0" applyFont="1" applyBorder="1" applyAlignment="1">
      <alignment vertical="center"/>
    </xf>
    <xf numFmtId="9" fontId="117" fillId="0" borderId="56" xfId="0" applyNumberFormat="1" applyFont="1" applyBorder="1" applyAlignment="1">
      <alignment vertical="center"/>
    </xf>
    <xf numFmtId="172" fontId="117" fillId="0" borderId="56" xfId="0" applyNumberFormat="1" applyFont="1" applyBorder="1" applyAlignment="1">
      <alignment vertical="center" wrapText="1"/>
    </xf>
    <xf numFmtId="3" fontId="117" fillId="0" borderId="56" xfId="0" applyNumberFormat="1" applyFont="1" applyBorder="1" applyAlignment="1">
      <alignment vertical="center"/>
    </xf>
    <xf numFmtId="3" fontId="117" fillId="0" borderId="56" xfId="0" applyNumberFormat="1" applyFont="1" applyBorder="1" applyAlignment="1">
      <alignment vertical="center" wrapText="1"/>
    </xf>
    <xf numFmtId="9" fontId="117" fillId="0" borderId="56" xfId="0" applyNumberFormat="1" applyFont="1" applyBorder="1" applyAlignment="1">
      <alignment horizontal="center" vertical="center"/>
    </xf>
    <xf numFmtId="177" fontId="117" fillId="0" borderId="56" xfId="0" applyNumberFormat="1" applyFont="1" applyBorder="1" applyAlignment="1">
      <alignment horizontal="center" vertical="center"/>
    </xf>
    <xf numFmtId="9" fontId="119" fillId="0" borderId="56" xfId="0" applyNumberFormat="1" applyFont="1" applyBorder="1" applyAlignment="1">
      <alignment vertical="center"/>
    </xf>
    <xf numFmtId="172" fontId="119" fillId="0" borderId="56" xfId="0" applyNumberFormat="1" applyFont="1" applyBorder="1" applyAlignment="1">
      <alignment vertical="center" wrapText="1"/>
    </xf>
    <xf numFmtId="3" fontId="119" fillId="0" borderId="56" xfId="0" applyNumberFormat="1" applyFont="1" applyBorder="1" applyAlignment="1">
      <alignment vertical="center"/>
    </xf>
    <xf numFmtId="3" fontId="119" fillId="0" borderId="56" xfId="0" applyNumberFormat="1" applyFont="1" applyBorder="1" applyAlignment="1">
      <alignment vertical="center" wrapText="1"/>
    </xf>
    <xf numFmtId="9" fontId="119" fillId="0" borderId="56" xfId="0" applyNumberFormat="1" applyFont="1" applyBorder="1" applyAlignment="1">
      <alignment horizontal="center" vertical="center"/>
    </xf>
    <xf numFmtId="177" fontId="119" fillId="0" borderId="56" xfId="0" applyNumberFormat="1" applyFont="1" applyBorder="1" applyAlignment="1">
      <alignment horizontal="center" vertical="center"/>
    </xf>
    <xf numFmtId="3" fontId="100" fillId="0" borderId="56" xfId="0" applyNumberFormat="1" applyFont="1" applyBorder="1" applyAlignment="1">
      <alignment horizontal="center" vertical="center" wrapText="1"/>
    </xf>
    <xf numFmtId="9" fontId="100" fillId="0" borderId="56" xfId="0" applyNumberFormat="1" applyFont="1" applyBorder="1" applyAlignment="1">
      <alignment vertical="center" wrapText="1"/>
    </xf>
    <xf numFmtId="9" fontId="100" fillId="0" borderId="56" xfId="0" applyNumberFormat="1" applyFont="1" applyBorder="1" applyAlignment="1">
      <alignment horizontal="center" vertical="center" wrapText="1"/>
    </xf>
    <xf numFmtId="172" fontId="119" fillId="0" borderId="56" xfId="0" applyNumberFormat="1" applyFont="1" applyBorder="1" applyAlignment="1">
      <alignment vertical="center"/>
    </xf>
    <xf numFmtId="172" fontId="100" fillId="0" borderId="56" xfId="0" applyNumberFormat="1" applyFont="1" applyBorder="1" applyAlignment="1">
      <alignment horizontal="center" vertical="center"/>
    </xf>
    <xf numFmtId="9" fontId="100" fillId="0" borderId="56" xfId="63" applyFont="1" applyFill="1" applyBorder="1" applyAlignment="1">
      <alignment horizontal="left" vertical="center" wrapText="1"/>
    </xf>
    <xf numFmtId="0" fontId="100" fillId="0" borderId="31" xfId="0" applyFont="1" applyBorder="1" applyAlignment="1">
      <alignment horizontal="center" vertical="center" wrapText="1"/>
    </xf>
    <xf numFmtId="0" fontId="100" fillId="0" borderId="31" xfId="0" applyFont="1" applyBorder="1" applyAlignment="1">
      <alignment horizontal="left" vertical="center" wrapText="1"/>
    </xf>
    <xf numFmtId="0" fontId="100" fillId="0" borderId="31" xfId="0" applyFont="1" applyBorder="1" applyAlignment="1">
      <alignment vertical="center" wrapText="1"/>
    </xf>
    <xf numFmtId="0" fontId="100" fillId="0" borderId="31" xfId="0" applyFont="1" applyBorder="1" applyAlignment="1">
      <alignment vertical="center"/>
    </xf>
    <xf numFmtId="9" fontId="100" fillId="0" borderId="31" xfId="0" applyNumberFormat="1" applyFont="1" applyBorder="1" applyAlignment="1">
      <alignment vertical="center" wrapText="1"/>
    </xf>
    <xf numFmtId="3" fontId="100" fillId="0" borderId="31" xfId="0" applyNumberFormat="1" applyFont="1" applyBorder="1" applyAlignment="1">
      <alignment vertical="center"/>
    </xf>
    <xf numFmtId="172" fontId="100" fillId="0" borderId="31" xfId="0" applyNumberFormat="1" applyFont="1" applyBorder="1" applyAlignment="1">
      <alignment horizontal="right" vertical="center"/>
    </xf>
    <xf numFmtId="177" fontId="100" fillId="0" borderId="31" xfId="0" applyNumberFormat="1" applyFont="1" applyBorder="1" applyAlignment="1">
      <alignment horizontal="center" vertical="center"/>
    </xf>
    <xf numFmtId="0" fontId="100" fillId="0" borderId="0" xfId="0" applyFont="1" applyAlignment="1">
      <alignment horizontal="center" vertical="center"/>
    </xf>
    <xf numFmtId="1" fontId="100" fillId="0" borderId="0" xfId="0" applyNumberFormat="1" applyFont="1" applyAlignment="1">
      <alignment vertical="center"/>
    </xf>
    <xf numFmtId="0" fontId="100" fillId="0" borderId="0" xfId="0" applyFont="1" applyAlignment="1">
      <alignment horizontal="left" vertical="center"/>
    </xf>
    <xf numFmtId="0" fontId="100" fillId="0" borderId="0" xfId="0" applyFont="1" applyAlignment="1">
      <alignment vertical="center"/>
    </xf>
    <xf numFmtId="0" fontId="100" fillId="0" borderId="0" xfId="0" applyFont="1" applyAlignment="1">
      <alignment vertical="center" wrapText="1"/>
    </xf>
    <xf numFmtId="0" fontId="121" fillId="0" borderId="56" xfId="0" applyFont="1" applyBorder="1" applyAlignment="1">
      <alignment horizontal="center" vertical="center"/>
    </xf>
    <xf numFmtId="0" fontId="25" fillId="0" borderId="56" xfId="0" applyFont="1" applyBorder="1" applyAlignment="1">
      <alignment vertical="center" wrapText="1"/>
    </xf>
    <xf numFmtId="1" fontId="8" fillId="0" borderId="0" xfId="0" applyNumberFormat="1" applyFont="1" applyAlignment="1">
      <alignment vertical="center"/>
    </xf>
    <xf numFmtId="172" fontId="100" fillId="0" borderId="31" xfId="0" applyNumberFormat="1" applyFont="1" applyBorder="1" applyAlignment="1">
      <alignment vertical="center" wrapText="1"/>
    </xf>
    <xf numFmtId="172" fontId="117" fillId="0" borderId="56" xfId="0" applyNumberFormat="1" applyFont="1" applyBorder="1" applyAlignment="1">
      <alignment vertical="center"/>
    </xf>
    <xf numFmtId="0" fontId="39" fillId="0" borderId="56" xfId="0" applyFont="1" applyBorder="1" applyAlignment="1">
      <alignment horizontal="center" vertical="center" wrapText="1"/>
    </xf>
    <xf numFmtId="0" fontId="32" fillId="0" borderId="56" xfId="0" applyFont="1" applyBorder="1" applyAlignment="1">
      <alignment horizontal="center" vertical="center"/>
    </xf>
    <xf numFmtId="0" fontId="39" fillId="0" borderId="56" xfId="0" applyFont="1" applyBorder="1" applyAlignment="1">
      <alignment horizontal="left" vertical="center" wrapText="1"/>
    </xf>
    <xf numFmtId="0" fontId="39" fillId="0" borderId="56" xfId="0" applyFont="1" applyBorder="1" applyAlignment="1">
      <alignment vertical="center"/>
    </xf>
    <xf numFmtId="3" fontId="39" fillId="0" borderId="56" xfId="0" applyNumberFormat="1" applyFont="1" applyBorder="1" applyAlignment="1">
      <alignment vertical="center" wrapText="1"/>
    </xf>
    <xf numFmtId="0" fontId="32" fillId="0" borderId="56" xfId="0" applyFont="1" applyBorder="1" applyAlignment="1">
      <alignment vertical="center"/>
    </xf>
    <xf numFmtId="14" fontId="39" fillId="0" borderId="56" xfId="0" applyNumberFormat="1" applyFont="1" applyBorder="1" applyAlignment="1">
      <alignment horizontal="right" vertical="center" wrapText="1"/>
    </xf>
    <xf numFmtId="0" fontId="39" fillId="0" borderId="56" xfId="0" applyFont="1" applyBorder="1" applyAlignment="1">
      <alignment vertical="center" wrapText="1"/>
    </xf>
    <xf numFmtId="0" fontId="30" fillId="0" borderId="56" xfId="0" applyFont="1" applyBorder="1" applyAlignment="1">
      <alignment horizontal="center" vertical="center"/>
    </xf>
    <xf numFmtId="0" fontId="30" fillId="0" borderId="56" xfId="0" applyFont="1" applyBorder="1" applyAlignment="1">
      <alignment vertical="center" wrapText="1"/>
    </xf>
    <xf numFmtId="1" fontId="39" fillId="0" borderId="56" xfId="0" applyNumberFormat="1" applyFont="1" applyBorder="1" applyAlignment="1">
      <alignment horizontal="center" vertical="center" wrapText="1"/>
    </xf>
    <xf numFmtId="172" fontId="39" fillId="0" borderId="56" xfId="63" applyNumberFormat="1" applyFont="1" applyBorder="1" applyAlignment="1">
      <alignment horizontal="center" vertical="center"/>
    </xf>
    <xf numFmtId="9" fontId="39" fillId="0" borderId="56" xfId="0" applyNumberFormat="1" applyFont="1" applyBorder="1" applyAlignment="1">
      <alignment horizontal="center" vertical="center"/>
    </xf>
    <xf numFmtId="0" fontId="31" fillId="0" borderId="56" xfId="0" applyFont="1" applyBorder="1" applyAlignment="1">
      <alignment horizontal="center" vertical="center" wrapText="1"/>
    </xf>
    <xf numFmtId="0" fontId="31" fillId="0" borderId="56" xfId="0" applyFont="1" applyBorder="1" applyAlignment="1">
      <alignment horizontal="left" vertical="center" wrapText="1"/>
    </xf>
    <xf numFmtId="9" fontId="31" fillId="0" borderId="56" xfId="0" applyNumberFormat="1" applyFont="1" applyBorder="1" applyAlignment="1">
      <alignment horizontal="center" vertical="center" wrapText="1"/>
    </xf>
    <xf numFmtId="0" fontId="31" fillId="0" borderId="56" xfId="0" applyFont="1" applyBorder="1" applyAlignment="1">
      <alignment vertical="center" wrapText="1"/>
    </xf>
    <xf numFmtId="0" fontId="31" fillId="0" borderId="56" xfId="0" applyFont="1" applyBorder="1" applyAlignment="1">
      <alignment horizontal="right" vertical="center" wrapText="1"/>
    </xf>
    <xf numFmtId="9" fontId="31" fillId="0" borderId="56" xfId="0" applyNumberFormat="1" applyFont="1" applyBorder="1" applyAlignment="1">
      <alignment horizontal="right" vertical="center" wrapText="1"/>
    </xf>
    <xf numFmtId="3" fontId="31" fillId="0" borderId="56" xfId="0" applyNumberFormat="1" applyFont="1" applyBorder="1" applyAlignment="1">
      <alignment vertical="center"/>
    </xf>
    <xf numFmtId="0" fontId="31" fillId="0" borderId="56" xfId="0" applyFont="1" applyBorder="1" applyAlignment="1">
      <alignment vertical="center"/>
    </xf>
    <xf numFmtId="9" fontId="31" fillId="0" borderId="56" xfId="63" applyFont="1" applyBorder="1" applyAlignment="1">
      <alignment horizontal="center" vertical="center" wrapText="1"/>
    </xf>
    <xf numFmtId="0" fontId="25" fillId="0" borderId="56" xfId="0" applyFont="1" applyBorder="1" applyAlignment="1">
      <alignment horizontal="left" vertical="center" wrapText="1"/>
    </xf>
    <xf numFmtId="9" fontId="31" fillId="0" borderId="56" xfId="63" applyFont="1" applyBorder="1" applyAlignment="1">
      <alignment horizontal="right" vertical="center" wrapText="1"/>
    </xf>
    <xf numFmtId="3" fontId="31" fillId="0" borderId="56" xfId="0" applyNumberFormat="1" applyFont="1" applyBorder="1" applyAlignment="1">
      <alignment vertical="center" wrapText="1"/>
    </xf>
    <xf numFmtId="0" fontId="39" fillId="0" borderId="56" xfId="0" applyFont="1" applyBorder="1" applyAlignment="1">
      <alignment horizontal="center" vertical="center"/>
    </xf>
    <xf numFmtId="3" fontId="39" fillId="0" borderId="56" xfId="0" applyNumberFormat="1" applyFont="1" applyBorder="1" applyAlignment="1">
      <alignment vertical="center"/>
    </xf>
    <xf numFmtId="9" fontId="31" fillId="0" borderId="56" xfId="0" applyNumberFormat="1" applyFont="1" applyBorder="1" applyAlignment="1">
      <alignment vertical="center" wrapText="1"/>
    </xf>
    <xf numFmtId="9" fontId="31" fillId="0" borderId="56" xfId="63" applyFont="1" applyBorder="1" applyAlignment="1">
      <alignment vertical="center" wrapText="1"/>
    </xf>
    <xf numFmtId="172" fontId="39" fillId="0" borderId="56" xfId="0" applyNumberFormat="1" applyFont="1" applyBorder="1" applyAlignment="1">
      <alignment horizontal="center" vertical="center"/>
    </xf>
    <xf numFmtId="172" fontId="31" fillId="0" borderId="56" xfId="0" applyNumberFormat="1" applyFont="1" applyBorder="1" applyAlignment="1">
      <alignment horizontal="center" vertical="center" wrapText="1"/>
    </xf>
    <xf numFmtId="3" fontId="31" fillId="0" borderId="56" xfId="86" applyNumberFormat="1" applyFont="1" applyBorder="1" applyAlignment="1">
      <alignment vertical="center" wrapText="1"/>
    </xf>
    <xf numFmtId="0" fontId="39" fillId="0" borderId="55" xfId="0" applyFont="1" applyBorder="1" applyAlignment="1">
      <alignment horizontal="center" vertical="center" wrapText="1"/>
    </xf>
    <xf numFmtId="0" fontId="32" fillId="0" borderId="55" xfId="0" applyFont="1" applyBorder="1" applyAlignment="1">
      <alignment horizontal="center" vertical="center"/>
    </xf>
    <xf numFmtId="0" fontId="33" fillId="0" borderId="55" xfId="0" applyFont="1" applyBorder="1" applyAlignment="1">
      <alignment vertical="center"/>
    </xf>
    <xf numFmtId="0" fontId="39" fillId="0" borderId="55" xfId="0" applyFont="1" applyBorder="1" applyAlignment="1">
      <alignment horizontal="left" vertical="center" wrapText="1"/>
    </xf>
    <xf numFmtId="0" fontId="39" fillId="0" borderId="55" xfId="0" applyFont="1" applyBorder="1" applyAlignment="1">
      <alignment vertical="center"/>
    </xf>
    <xf numFmtId="3" fontId="39" fillId="0" borderId="55" xfId="0" applyNumberFormat="1" applyFont="1" applyBorder="1" applyAlignment="1">
      <alignment vertical="center" wrapText="1"/>
    </xf>
    <xf numFmtId="9" fontId="31" fillId="0" borderId="31" xfId="63" applyFont="1" applyBorder="1" applyAlignment="1">
      <alignment vertical="center" wrapText="1"/>
    </xf>
    <xf numFmtId="0" fontId="39" fillId="0" borderId="31" xfId="0" applyFont="1" applyBorder="1" applyAlignment="1">
      <alignment vertical="center"/>
    </xf>
    <xf numFmtId="3" fontId="31" fillId="0" borderId="31" xfId="86" applyNumberFormat="1" applyFont="1" applyBorder="1" applyAlignment="1">
      <alignment vertical="center" wrapText="1"/>
    </xf>
    <xf numFmtId="0" fontId="30" fillId="0" borderId="56" xfId="0" applyFont="1" applyBorder="1" applyAlignment="1">
      <alignment horizontal="center" vertical="center" wrapText="1"/>
    </xf>
    <xf numFmtId="1" fontId="30" fillId="0" borderId="56" xfId="0" applyNumberFormat="1" applyFont="1" applyBorder="1" applyAlignment="1">
      <alignment horizontal="center" vertical="center" wrapText="1"/>
    </xf>
    <xf numFmtId="0" fontId="2" fillId="0" borderId="56" xfId="0" applyFont="1" applyBorder="1" applyAlignment="1">
      <alignment horizontal="left" vertical="center" wrapText="1"/>
    </xf>
    <xf numFmtId="9" fontId="30" fillId="0" borderId="56" xfId="63" applyFont="1" applyBorder="1" applyAlignment="1">
      <alignment horizontal="right" vertical="center" wrapText="1"/>
    </xf>
    <xf numFmtId="3" fontId="30" fillId="0" borderId="56" xfId="0" applyNumberFormat="1" applyFont="1" applyBorder="1" applyAlignment="1">
      <alignment vertical="center" wrapText="1"/>
    </xf>
    <xf numFmtId="3" fontId="30" fillId="0" borderId="56" xfId="0" applyNumberFormat="1" applyFont="1" applyBorder="1" applyAlignment="1">
      <alignment vertical="center"/>
    </xf>
    <xf numFmtId="0" fontId="30" fillId="0" borderId="56" xfId="0" applyFont="1" applyBorder="1" applyAlignment="1">
      <alignment vertical="center"/>
    </xf>
    <xf numFmtId="0" fontId="32" fillId="0" borderId="56" xfId="0" applyFont="1" applyBorder="1" applyAlignment="1">
      <alignment horizontal="center" vertical="center" wrapText="1"/>
    </xf>
    <xf numFmtId="1" fontId="32" fillId="0" borderId="56" xfId="0" applyNumberFormat="1" applyFont="1" applyBorder="1" applyAlignment="1">
      <alignment horizontal="center" vertical="center" wrapText="1"/>
    </xf>
    <xf numFmtId="0" fontId="32" fillId="0" borderId="56" xfId="0" applyFont="1" applyBorder="1" applyAlignment="1">
      <alignment horizontal="justify" vertical="center" wrapText="1"/>
    </xf>
    <xf numFmtId="0" fontId="32" fillId="0" borderId="56" xfId="0" applyFont="1" applyBorder="1" applyAlignment="1">
      <alignment vertical="center" wrapText="1"/>
    </xf>
    <xf numFmtId="0" fontId="70" fillId="0" borderId="56" xfId="0" applyFont="1" applyBorder="1" applyAlignment="1">
      <alignment horizontal="left" vertical="center" wrapText="1"/>
    </xf>
    <xf numFmtId="9" fontId="32" fillId="0" borderId="56" xfId="63" applyFont="1" applyBorder="1" applyAlignment="1">
      <alignment horizontal="right" vertical="center" wrapText="1"/>
    </xf>
    <xf numFmtId="3" fontId="32" fillId="0" borderId="56" xfId="0" applyNumberFormat="1" applyFont="1" applyBorder="1" applyAlignment="1">
      <alignment vertical="center" wrapText="1"/>
    </xf>
    <xf numFmtId="3" fontId="32" fillId="0" borderId="56" xfId="0" applyNumberFormat="1" applyFont="1" applyBorder="1" applyAlignment="1">
      <alignment vertical="center"/>
    </xf>
    <xf numFmtId="172" fontId="39" fillId="0" borderId="56" xfId="0" applyNumberFormat="1" applyFont="1" applyBorder="1" applyAlignment="1">
      <alignment horizontal="right" vertical="center" wrapText="1"/>
    </xf>
    <xf numFmtId="172" fontId="39" fillId="0" borderId="56" xfId="0" applyNumberFormat="1" applyFont="1" applyBorder="1" applyAlignment="1">
      <alignment horizontal="left" vertical="center" wrapText="1"/>
    </xf>
    <xf numFmtId="172" fontId="32" fillId="0" borderId="56" xfId="0" applyNumberFormat="1" applyFont="1" applyBorder="1" applyAlignment="1">
      <alignment horizontal="right" vertical="center" wrapText="1"/>
    </xf>
    <xf numFmtId="172" fontId="32" fillId="0" borderId="56" xfId="0" applyNumberFormat="1" applyFont="1" applyBorder="1" applyAlignment="1">
      <alignment horizontal="center" vertical="center" wrapText="1"/>
    </xf>
    <xf numFmtId="172" fontId="30" fillId="0" borderId="56" xfId="0" applyNumberFormat="1" applyFont="1" applyBorder="1" applyAlignment="1">
      <alignment horizontal="right" vertical="center" wrapText="1"/>
    </xf>
    <xf numFmtId="172" fontId="30" fillId="0" borderId="56" xfId="0" applyNumberFormat="1" applyFont="1" applyBorder="1" applyAlignment="1">
      <alignment horizontal="center" vertical="center" wrapText="1"/>
    </xf>
    <xf numFmtId="172" fontId="39" fillId="0" borderId="56" xfId="63" applyNumberFormat="1" applyFont="1" applyBorder="1" applyAlignment="1">
      <alignment horizontal="left" vertical="center" wrapText="1"/>
    </xf>
    <xf numFmtId="172" fontId="39" fillId="0" borderId="56" xfId="0" applyNumberFormat="1" applyFont="1" applyBorder="1" applyAlignment="1">
      <alignment horizontal="right" vertical="center"/>
    </xf>
    <xf numFmtId="172" fontId="39" fillId="0" borderId="56" xfId="63" applyNumberFormat="1" applyFont="1" applyBorder="1" applyAlignment="1">
      <alignment vertical="center"/>
    </xf>
    <xf numFmtId="172" fontId="39" fillId="0" borderId="31" xfId="0" applyNumberFormat="1" applyFont="1" applyBorder="1" applyAlignment="1">
      <alignment horizontal="right" vertical="center"/>
    </xf>
    <xf numFmtId="172" fontId="31" fillId="0" borderId="56" xfId="63" applyNumberFormat="1" applyFont="1" applyBorder="1" applyAlignment="1">
      <alignment vertical="center"/>
    </xf>
    <xf numFmtId="172" fontId="32" fillId="0" borderId="56" xfId="63" applyNumberFormat="1" applyFont="1" applyBorder="1" applyAlignment="1">
      <alignment vertical="center"/>
    </xf>
    <xf numFmtId="172" fontId="30" fillId="0" borderId="56" xfId="63" applyNumberFormat="1" applyFont="1" applyBorder="1" applyAlignment="1">
      <alignment vertical="center"/>
    </xf>
    <xf numFmtId="172" fontId="31" fillId="0" borderId="56" xfId="0" applyNumberFormat="1" applyFont="1" applyBorder="1" applyAlignment="1">
      <alignment vertical="center"/>
    </xf>
    <xf numFmtId="172" fontId="31" fillId="0" borderId="31" xfId="63" applyNumberFormat="1" applyFont="1" applyBorder="1" applyAlignment="1">
      <alignment vertical="center"/>
    </xf>
    <xf numFmtId="0" fontId="31" fillId="0" borderId="55" xfId="43" applyFont="1" applyBorder="1" applyAlignment="1">
      <alignment horizontal="center" vertical="center" wrapText="1"/>
    </xf>
    <xf numFmtId="0" fontId="32" fillId="0" borderId="55" xfId="43" applyFont="1" applyBorder="1" applyAlignment="1">
      <alignment horizontal="center" vertical="center" wrapText="1"/>
    </xf>
    <xf numFmtId="0" fontId="33" fillId="0" borderId="55" xfId="43" applyFont="1" applyBorder="1" applyAlignment="1">
      <alignment horizontal="left" vertical="center" wrapText="1"/>
    </xf>
    <xf numFmtId="0" fontId="31" fillId="0" borderId="55" xfId="43" applyFont="1" applyBorder="1" applyAlignment="1">
      <alignment horizontal="left" vertical="center" wrapText="1"/>
    </xf>
    <xf numFmtId="0" fontId="76" fillId="0" borderId="55" xfId="43" applyFont="1" applyBorder="1" applyAlignment="1">
      <alignment horizontal="center" vertical="center"/>
    </xf>
    <xf numFmtId="0" fontId="31" fillId="0" borderId="55" xfId="43" applyFont="1" applyBorder="1" applyAlignment="1">
      <alignment horizontal="left" vertical="center"/>
    </xf>
    <xf numFmtId="0" fontId="31" fillId="0" borderId="55" xfId="43" applyFont="1" applyBorder="1" applyAlignment="1">
      <alignment horizontal="center" vertical="center"/>
    </xf>
    <xf numFmtId="3" fontId="39" fillId="0" borderId="55" xfId="43" applyNumberFormat="1" applyFont="1" applyBorder="1" applyAlignment="1">
      <alignment horizontal="center" vertical="center" wrapText="1"/>
    </xf>
    <xf numFmtId="9" fontId="39" fillId="0" borderId="55" xfId="65" applyFont="1" applyFill="1" applyBorder="1" applyAlignment="1">
      <alignment horizontal="center" vertical="center" wrapText="1"/>
    </xf>
    <xf numFmtId="9" fontId="39" fillId="0" borderId="55" xfId="65" applyFont="1" applyFill="1" applyBorder="1" applyAlignment="1">
      <alignment horizontal="right" vertical="center" wrapText="1"/>
    </xf>
    <xf numFmtId="0" fontId="39" fillId="0" borderId="55" xfId="43" applyFont="1" applyBorder="1" applyAlignment="1">
      <alignment vertical="center"/>
    </xf>
    <xf numFmtId="0" fontId="39" fillId="0" borderId="55" xfId="43" applyFont="1" applyBorder="1" applyAlignment="1">
      <alignment horizontal="center" vertical="center"/>
    </xf>
    <xf numFmtId="9" fontId="8" fillId="0" borderId="55" xfId="65" applyFont="1" applyFill="1" applyBorder="1" applyAlignment="1">
      <alignment horizontal="center" vertical="center"/>
    </xf>
    <xf numFmtId="0" fontId="39" fillId="0" borderId="55" xfId="43" applyFont="1" applyBorder="1" applyAlignment="1">
      <alignment vertical="top"/>
    </xf>
    <xf numFmtId="0" fontId="32" fillId="0" borderId="56" xfId="43" applyFont="1" applyBorder="1" applyAlignment="1">
      <alignment horizontal="center" vertical="center"/>
    </xf>
    <xf numFmtId="0" fontId="32" fillId="0" borderId="56" xfId="43" applyFont="1" applyBorder="1" applyAlignment="1">
      <alignment horizontal="center" vertical="center" wrapText="1"/>
    </xf>
    <xf numFmtId="0" fontId="32" fillId="0" borderId="56" xfId="43" applyFont="1" applyBorder="1" applyAlignment="1">
      <alignment horizontal="left" vertical="center" wrapText="1"/>
    </xf>
    <xf numFmtId="0" fontId="55" fillId="0" borderId="56" xfId="43" applyFont="1" applyBorder="1" applyAlignment="1">
      <alignment horizontal="center" vertical="center"/>
    </xf>
    <xf numFmtId="0" fontId="32" fillId="0" borderId="56" xfId="43" applyFont="1" applyBorder="1" applyAlignment="1">
      <alignment horizontal="left" vertical="center"/>
    </xf>
    <xf numFmtId="3" fontId="39" fillId="0" borderId="56" xfId="43" applyNumberFormat="1" applyFont="1" applyBorder="1" applyAlignment="1">
      <alignment horizontal="center" vertical="center" wrapText="1"/>
    </xf>
    <xf numFmtId="9" fontId="39" fillId="0" borderId="56" xfId="65" applyFont="1" applyFill="1" applyBorder="1" applyAlignment="1">
      <alignment horizontal="center" vertical="center" wrapText="1"/>
    </xf>
    <xf numFmtId="9" fontId="39" fillId="0" borderId="56" xfId="65" applyFont="1" applyFill="1" applyBorder="1" applyAlignment="1">
      <alignment horizontal="left" vertical="center" wrapText="1"/>
    </xf>
    <xf numFmtId="0" fontId="39" fillId="0" borderId="56" xfId="43" applyFont="1" applyBorder="1" applyAlignment="1">
      <alignment vertical="center"/>
    </xf>
    <xf numFmtId="0" fontId="39" fillId="0" borderId="56" xfId="43" applyFont="1" applyBorder="1" applyAlignment="1">
      <alignment horizontal="center" vertical="center"/>
    </xf>
    <xf numFmtId="9" fontId="8" fillId="0" borderId="56" xfId="65" applyFont="1" applyFill="1" applyBorder="1" applyAlignment="1">
      <alignment horizontal="center" vertical="center"/>
    </xf>
    <xf numFmtId="0" fontId="39" fillId="0" borderId="56" xfId="43" applyFont="1" applyBorder="1" applyAlignment="1">
      <alignment vertical="top"/>
    </xf>
    <xf numFmtId="0" fontId="31" fillId="0" borderId="56" xfId="43" applyFont="1" applyBorder="1" applyAlignment="1">
      <alignment horizontal="center" vertical="center"/>
    </xf>
    <xf numFmtId="0" fontId="30" fillId="0" borderId="56" xfId="43" applyFont="1" applyBorder="1" applyAlignment="1">
      <alignment horizontal="center" vertical="center" wrapText="1"/>
    </xf>
    <xf numFmtId="0" fontId="30" fillId="0" borderId="56" xfId="43" applyFont="1" applyBorder="1" applyAlignment="1">
      <alignment horizontal="left" vertical="center" wrapText="1"/>
    </xf>
    <xf numFmtId="0" fontId="31" fillId="0" borderId="56" xfId="43" applyFont="1" applyBorder="1" applyAlignment="1">
      <alignment horizontal="left" vertical="center" wrapText="1"/>
    </xf>
    <xf numFmtId="0" fontId="76" fillId="0" borderId="56" xfId="43" applyFont="1" applyBorder="1" applyAlignment="1">
      <alignment horizontal="center" vertical="center"/>
    </xf>
    <xf numFmtId="0" fontId="31" fillId="0" borderId="56" xfId="43" applyFont="1" applyBorder="1" applyAlignment="1">
      <alignment horizontal="left" vertical="center"/>
    </xf>
    <xf numFmtId="0" fontId="31" fillId="0" borderId="56" xfId="43" applyFont="1" applyBorder="1" applyAlignment="1">
      <alignment horizontal="center" vertical="center" wrapText="1"/>
    </xf>
    <xf numFmtId="49" fontId="39" fillId="0" borderId="56" xfId="43" applyNumberFormat="1" applyFont="1" applyBorder="1" applyAlignment="1">
      <alignment horizontal="center" vertical="center" wrapText="1"/>
    </xf>
    <xf numFmtId="0" fontId="39" fillId="0" borderId="56" xfId="43" applyFont="1" applyBorder="1" applyAlignment="1">
      <alignment horizontal="center" vertical="center" wrapText="1"/>
    </xf>
    <xf numFmtId="0" fontId="39" fillId="0" borderId="56" xfId="43" applyFont="1" applyBorder="1" applyAlignment="1">
      <alignment horizontal="left" vertical="center" wrapText="1"/>
    </xf>
    <xf numFmtId="3" fontId="25" fillId="0" borderId="56" xfId="39" applyNumberFormat="1" applyFont="1" applyBorder="1" applyAlignment="1">
      <alignment horizontal="center" vertical="center"/>
    </xf>
    <xf numFmtId="3" fontId="31" fillId="0" borderId="56" xfId="43" applyNumberFormat="1" applyFont="1" applyBorder="1" applyAlignment="1">
      <alignment horizontal="center" vertical="center"/>
    </xf>
    <xf numFmtId="9" fontId="39" fillId="0" borderId="56" xfId="65" applyFont="1" applyFill="1" applyBorder="1" applyAlignment="1">
      <alignment horizontal="right" vertical="center" wrapText="1"/>
    </xf>
    <xf numFmtId="178" fontId="39" fillId="0" borderId="56" xfId="76" applyFont="1" applyFill="1" applyBorder="1" applyAlignment="1">
      <alignment horizontal="center" vertical="center" wrapText="1"/>
    </xf>
    <xf numFmtId="0" fontId="36" fillId="0" borderId="56" xfId="43" applyFont="1" applyBorder="1" applyAlignment="1">
      <alignment horizontal="center" vertical="center"/>
    </xf>
    <xf numFmtId="1" fontId="31" fillId="0" borderId="56" xfId="43" applyNumberFormat="1" applyFont="1" applyBorder="1" applyAlignment="1">
      <alignment horizontal="center" vertical="center" wrapText="1"/>
    </xf>
    <xf numFmtId="0" fontId="76" fillId="0" borderId="56" xfId="43" applyFont="1" applyBorder="1" applyAlignment="1">
      <alignment horizontal="center" vertical="center" wrapText="1"/>
    </xf>
    <xf numFmtId="0" fontId="36" fillId="0" borderId="56" xfId="43" applyFont="1" applyBorder="1" applyAlignment="1">
      <alignment horizontal="left" vertical="center" wrapText="1"/>
    </xf>
    <xf numFmtId="3" fontId="31" fillId="0" borderId="56" xfId="43" applyNumberFormat="1" applyFont="1" applyBorder="1" applyAlignment="1">
      <alignment horizontal="center" vertical="center" wrapText="1"/>
    </xf>
    <xf numFmtId="0" fontId="36" fillId="0" borderId="56" xfId="43" applyFont="1" applyBorder="1" applyAlignment="1">
      <alignment horizontal="center" vertical="center" wrapText="1"/>
    </xf>
    <xf numFmtId="3" fontId="31" fillId="0" borderId="56" xfId="76" applyNumberFormat="1" applyFont="1" applyFill="1" applyBorder="1" applyAlignment="1">
      <alignment vertical="center" wrapText="1"/>
    </xf>
    <xf numFmtId="195" fontId="31" fillId="0" borderId="56" xfId="43" applyNumberFormat="1" applyFont="1" applyBorder="1" applyAlignment="1">
      <alignment horizontal="center" vertical="center" wrapText="1"/>
    </xf>
    <xf numFmtId="0" fontId="31" fillId="0" borderId="56" xfId="43" applyFont="1" applyBorder="1" applyAlignment="1">
      <alignment vertical="top" wrapText="1"/>
    </xf>
    <xf numFmtId="3" fontId="25" fillId="0" borderId="56" xfId="43" applyNumberFormat="1" applyFont="1" applyBorder="1" applyAlignment="1">
      <alignment horizontal="center" vertical="center" wrapText="1"/>
    </xf>
    <xf numFmtId="1" fontId="39" fillId="0" borderId="56" xfId="43" applyNumberFormat="1" applyFont="1" applyBorder="1" applyAlignment="1">
      <alignment horizontal="center" vertical="center" wrapText="1"/>
    </xf>
    <xf numFmtId="0" fontId="122" fillId="0" borderId="56" xfId="43" applyFont="1" applyBorder="1" applyAlignment="1">
      <alignment horizontal="center" vertical="center" wrapText="1"/>
    </xf>
    <xf numFmtId="3" fontId="39" fillId="0" borderId="56" xfId="76" applyNumberFormat="1" applyFont="1" applyFill="1" applyBorder="1" applyAlignment="1">
      <alignment vertical="center" wrapText="1"/>
    </xf>
    <xf numFmtId="0" fontId="39" fillId="0" borderId="56" xfId="43" applyFont="1" applyBorder="1" applyAlignment="1">
      <alignment vertical="center" wrapText="1"/>
    </xf>
    <xf numFmtId="178" fontId="31" fillId="0" borderId="56" xfId="76" applyFont="1" applyFill="1" applyBorder="1" applyAlignment="1">
      <alignment horizontal="center" vertical="center" wrapText="1"/>
    </xf>
    <xf numFmtId="0" fontId="39" fillId="0" borderId="56" xfId="43" applyFont="1" applyBorder="1" applyAlignment="1">
      <alignment vertical="top" wrapText="1"/>
    </xf>
    <xf numFmtId="0" fontId="31" fillId="0" borderId="56" xfId="43" applyFont="1" applyBorder="1" applyAlignment="1">
      <alignment horizontal="left" vertical="top" wrapText="1"/>
    </xf>
    <xf numFmtId="0" fontId="36" fillId="0" borderId="56" xfId="43" applyFont="1" applyBorder="1" applyAlignment="1">
      <alignment vertical="center" wrapText="1"/>
    </xf>
    <xf numFmtId="0" fontId="31" fillId="0" borderId="56" xfId="43" applyFont="1" applyBorder="1" applyAlignment="1">
      <alignment vertical="center" wrapText="1"/>
    </xf>
    <xf numFmtId="0" fontId="33" fillId="0" borderId="56" xfId="43" applyFont="1" applyBorder="1" applyAlignment="1">
      <alignment horizontal="center" vertical="center" wrapText="1"/>
    </xf>
    <xf numFmtId="0" fontId="33" fillId="0" borderId="56" xfId="43" applyFont="1" applyBorder="1" applyAlignment="1">
      <alignment horizontal="left" vertical="center" wrapText="1"/>
    </xf>
    <xf numFmtId="0" fontId="55" fillId="0" borderId="56" xfId="43" applyFont="1" applyBorder="1" applyAlignment="1">
      <alignment horizontal="center" vertical="center" wrapText="1"/>
    </xf>
    <xf numFmtId="3" fontId="39" fillId="0" borderId="56" xfId="43" applyNumberFormat="1" applyFont="1" applyBorder="1" applyAlignment="1">
      <alignment vertical="center"/>
    </xf>
    <xf numFmtId="3" fontId="70" fillId="0" borderId="56" xfId="39" applyNumberFormat="1" applyFont="1" applyBorder="1" applyAlignment="1">
      <alignment horizontal="center" vertical="center" wrapText="1"/>
    </xf>
    <xf numFmtId="3" fontId="31" fillId="0" borderId="56" xfId="76" applyNumberFormat="1" applyFont="1" applyFill="1" applyBorder="1" applyAlignment="1">
      <alignment vertical="center"/>
    </xf>
    <xf numFmtId="0" fontId="37" fillId="0" borderId="56" xfId="43" applyFont="1" applyBorder="1" applyAlignment="1">
      <alignment horizontal="left" vertical="center" wrapText="1"/>
    </xf>
    <xf numFmtId="3" fontId="39" fillId="0" borderId="56" xfId="76" applyNumberFormat="1" applyFont="1" applyFill="1" applyBorder="1" applyAlignment="1">
      <alignment vertical="center"/>
    </xf>
    <xf numFmtId="3" fontId="76" fillId="0" borderId="56" xfId="43" applyNumberFormat="1" applyFont="1" applyBorder="1" applyAlignment="1">
      <alignment horizontal="center" vertical="center" wrapText="1"/>
    </xf>
    <xf numFmtId="14" fontId="31" fillId="0" borderId="56" xfId="43" applyNumberFormat="1" applyFont="1" applyBorder="1" applyAlignment="1">
      <alignment horizontal="center" vertical="center"/>
    </xf>
    <xf numFmtId="172" fontId="31" fillId="0" borderId="56" xfId="65" applyNumberFormat="1" applyFont="1" applyFill="1" applyBorder="1" applyAlignment="1">
      <alignment horizontal="center" vertical="center" wrapText="1"/>
    </xf>
    <xf numFmtId="0" fontId="123" fillId="0" borderId="56" xfId="43" applyFont="1" applyBorder="1" applyAlignment="1">
      <alignment horizontal="center" vertical="center" wrapText="1"/>
    </xf>
    <xf numFmtId="0" fontId="30" fillId="0" borderId="56" xfId="43" applyFont="1" applyBorder="1" applyAlignment="1">
      <alignment vertical="top" wrapText="1"/>
    </xf>
    <xf numFmtId="192" fontId="31" fillId="0" borderId="56" xfId="86" applyNumberFormat="1" applyFont="1" applyFill="1" applyBorder="1" applyAlignment="1">
      <alignment vertical="center"/>
    </xf>
    <xf numFmtId="196" fontId="31" fillId="0" borderId="56" xfId="86" applyNumberFormat="1" applyFont="1" applyFill="1" applyBorder="1" applyAlignment="1">
      <alignment horizontal="center" vertical="center" wrapText="1"/>
    </xf>
    <xf numFmtId="1" fontId="122" fillId="0" borderId="56" xfId="43" applyNumberFormat="1" applyFont="1" applyBorder="1" applyAlignment="1">
      <alignment horizontal="center" vertical="center" wrapText="1"/>
    </xf>
    <xf numFmtId="187" fontId="31" fillId="0" borderId="56" xfId="43" applyNumberFormat="1" applyFont="1" applyBorder="1" applyAlignment="1">
      <alignment horizontal="center" vertical="center" wrapText="1"/>
    </xf>
    <xf numFmtId="0" fontId="25" fillId="0" borderId="56" xfId="43" applyFont="1" applyBorder="1" applyAlignment="1">
      <alignment horizontal="center" vertical="center" wrapText="1"/>
    </xf>
    <xf numFmtId="0" fontId="31" fillId="0" borderId="31" xfId="43" applyFont="1" applyBorder="1" applyAlignment="1">
      <alignment horizontal="center" vertical="center" wrapText="1"/>
    </xf>
    <xf numFmtId="0" fontId="31" fillId="0" borderId="31" xfId="43" applyFont="1" applyBorder="1" applyAlignment="1">
      <alignment horizontal="left" vertical="center" wrapText="1"/>
    </xf>
    <xf numFmtId="0" fontId="76" fillId="0" borderId="31" xfId="43" applyFont="1" applyBorder="1" applyAlignment="1">
      <alignment horizontal="center" vertical="center" wrapText="1"/>
    </xf>
    <xf numFmtId="195" fontId="31" fillId="0" borderId="31" xfId="43" applyNumberFormat="1" applyFont="1" applyBorder="1" applyAlignment="1">
      <alignment horizontal="center" vertical="center" wrapText="1"/>
    </xf>
    <xf numFmtId="0" fontId="31" fillId="0" borderId="31" xfId="43" applyFont="1" applyBorder="1" applyAlignment="1">
      <alignment vertical="top" wrapText="1"/>
    </xf>
    <xf numFmtId="0" fontId="30" fillId="0" borderId="0" xfId="43" applyFont="1" applyAlignment="1">
      <alignment horizontal="center" vertical="top"/>
    </xf>
    <xf numFmtId="0" fontId="30" fillId="0" borderId="0" xfId="43" applyFont="1" applyAlignment="1">
      <alignment vertical="top"/>
    </xf>
    <xf numFmtId="0" fontId="30" fillId="0" borderId="0" xfId="43" applyFont="1"/>
    <xf numFmtId="0" fontId="30" fillId="0" borderId="0" xfId="43" applyFont="1" applyAlignment="1">
      <alignment horizontal="center"/>
    </xf>
    <xf numFmtId="0" fontId="30" fillId="0" borderId="0" xfId="43" applyFont="1" applyAlignment="1">
      <alignment horizontal="center" vertical="center"/>
    </xf>
    <xf numFmtId="9" fontId="30" fillId="0" borderId="0" xfId="65" applyFont="1" applyFill="1" applyAlignment="1">
      <alignment horizontal="center"/>
    </xf>
    <xf numFmtId="9" fontId="30" fillId="0" borderId="0" xfId="65" applyFont="1" applyFill="1"/>
    <xf numFmtId="0" fontId="39" fillId="0" borderId="0" xfId="43" applyFont="1"/>
    <xf numFmtId="0" fontId="30" fillId="0" borderId="0" xfId="43" applyFont="1" applyAlignment="1">
      <alignment vertical="top" wrapText="1"/>
    </xf>
    <xf numFmtId="0" fontId="39" fillId="0" borderId="0" xfId="43" applyFont="1" applyAlignment="1">
      <alignment horizontal="center" vertical="top"/>
    </xf>
    <xf numFmtId="0" fontId="8" fillId="0" borderId="0" xfId="47" applyFont="1" applyAlignment="1">
      <alignment horizontal="center" vertical="center" wrapText="1"/>
    </xf>
    <xf numFmtId="0" fontId="39" fillId="0" borderId="0" xfId="43" applyFont="1" applyAlignment="1">
      <alignment horizontal="left" vertical="center"/>
    </xf>
    <xf numFmtId="197" fontId="8" fillId="0" borderId="0" xfId="47" applyNumberFormat="1" applyFont="1" applyAlignment="1">
      <alignment horizontal="center" vertical="center" wrapText="1"/>
    </xf>
    <xf numFmtId="3" fontId="39" fillId="0" borderId="0" xfId="43" applyNumberFormat="1" applyFont="1" applyAlignment="1">
      <alignment vertical="center"/>
    </xf>
    <xf numFmtId="9" fontId="8" fillId="0" borderId="0" xfId="65" applyFont="1" applyFill="1" applyAlignment="1">
      <alignment horizontal="center" vertical="center"/>
    </xf>
    <xf numFmtId="0" fontId="39" fillId="0" borderId="0" xfId="43" applyFont="1" applyAlignment="1">
      <alignment horizontal="center" vertical="center"/>
    </xf>
    <xf numFmtId="0" fontId="39" fillId="0" borderId="0" xfId="43" applyFont="1" applyAlignment="1">
      <alignment vertical="top" wrapText="1"/>
    </xf>
    <xf numFmtId="10" fontId="8" fillId="0" borderId="0" xfId="43" applyNumberFormat="1" applyFont="1" applyAlignment="1">
      <alignment horizontal="center" vertical="center"/>
    </xf>
    <xf numFmtId="0" fontId="8" fillId="0" borderId="0" xfId="43" applyFont="1" applyAlignment="1">
      <alignment horizontal="center" vertical="center" wrapText="1"/>
    </xf>
    <xf numFmtId="14" fontId="31" fillId="0" borderId="56" xfId="0" applyNumberFormat="1" applyFont="1" applyBorder="1" applyAlignment="1">
      <alignment horizontal="center" vertical="center"/>
    </xf>
    <xf numFmtId="195" fontId="36" fillId="0" borderId="56" xfId="0" applyNumberFormat="1" applyFont="1" applyBorder="1" applyAlignment="1">
      <alignment horizontal="center" vertical="center" wrapText="1"/>
    </xf>
    <xf numFmtId="195" fontId="31" fillId="0" borderId="56" xfId="0" applyNumberFormat="1" applyFont="1" applyBorder="1" applyAlignment="1">
      <alignment horizontal="center" vertical="center" wrapText="1"/>
    </xf>
    <xf numFmtId="0" fontId="31" fillId="0" borderId="56" xfId="0" applyFont="1" applyBorder="1" applyAlignment="1">
      <alignment horizontal="left" vertical="center"/>
    </xf>
    <xf numFmtId="195" fontId="36" fillId="4" borderId="56" xfId="0" applyNumberFormat="1" applyFont="1" applyFill="1" applyBorder="1" applyAlignment="1">
      <alignment horizontal="center" vertical="center" wrapText="1"/>
    </xf>
    <xf numFmtId="0" fontId="31" fillId="0" borderId="56" xfId="0" applyFont="1" applyBorder="1" applyAlignment="1">
      <alignment horizontal="center" vertical="center"/>
    </xf>
    <xf numFmtId="0" fontId="31" fillId="0" borderId="31" xfId="43" applyFont="1" applyBorder="1" applyAlignment="1">
      <alignment vertical="center" wrapText="1"/>
    </xf>
    <xf numFmtId="3" fontId="31" fillId="0" borderId="31" xfId="76" applyNumberFormat="1" applyFont="1" applyFill="1" applyBorder="1" applyAlignment="1">
      <alignment vertical="center"/>
    </xf>
    <xf numFmtId="3" fontId="31" fillId="0" borderId="31" xfId="90" applyNumberFormat="1" applyFont="1" applyBorder="1" applyAlignment="1">
      <alignment vertical="center"/>
    </xf>
    <xf numFmtId="0" fontId="124" fillId="0" borderId="56" xfId="43" applyFont="1" applyBorder="1" applyAlignment="1">
      <alignment horizontal="center" vertical="center" wrapText="1"/>
    </xf>
    <xf numFmtId="3" fontId="30" fillId="0" borderId="56" xfId="43" applyNumberFormat="1" applyFont="1" applyBorder="1" applyAlignment="1">
      <alignment vertical="center"/>
    </xf>
    <xf numFmtId="0" fontId="30" fillId="0" borderId="56" xfId="43" applyFont="1" applyBorder="1" applyAlignment="1">
      <alignment vertical="center" wrapText="1"/>
    </xf>
    <xf numFmtId="0" fontId="30" fillId="0" borderId="56" xfId="43" applyFont="1" applyBorder="1" applyAlignment="1">
      <alignment horizontal="center" vertical="center"/>
    </xf>
    <xf numFmtId="3" fontId="32" fillId="0" borderId="56" xfId="43" applyNumberFormat="1" applyFont="1" applyBorder="1" applyAlignment="1">
      <alignment vertical="center"/>
    </xf>
    <xf numFmtId="0" fontId="32" fillId="0" borderId="56" xfId="43" applyFont="1" applyBorder="1" applyAlignment="1">
      <alignment vertical="center" wrapText="1"/>
    </xf>
    <xf numFmtId="0" fontId="32" fillId="0" borderId="56" xfId="43" applyFont="1" applyBorder="1" applyAlignment="1">
      <alignment vertical="top" wrapText="1"/>
    </xf>
    <xf numFmtId="3" fontId="32" fillId="0" borderId="56" xfId="76" applyNumberFormat="1" applyFont="1" applyFill="1" applyBorder="1" applyAlignment="1">
      <alignment vertical="center"/>
    </xf>
    <xf numFmtId="3" fontId="30" fillId="0" borderId="56" xfId="76" applyNumberFormat="1" applyFont="1" applyFill="1" applyBorder="1" applyAlignment="1">
      <alignment vertical="center"/>
    </xf>
    <xf numFmtId="0" fontId="96" fillId="0" borderId="56" xfId="43" applyFont="1" applyBorder="1" applyAlignment="1">
      <alignment vertical="center" wrapText="1"/>
    </xf>
    <xf numFmtId="0" fontId="25" fillId="0" borderId="56" xfId="47" applyFont="1" applyBorder="1" applyAlignment="1">
      <alignment vertical="center" wrapText="1"/>
    </xf>
    <xf numFmtId="3" fontId="31" fillId="0" borderId="56" xfId="43" applyNumberFormat="1" applyFont="1" applyBorder="1" applyAlignment="1">
      <alignment vertical="center" wrapText="1"/>
    </xf>
    <xf numFmtId="9" fontId="31" fillId="0" borderId="56" xfId="43" applyNumberFormat="1" applyFont="1" applyBorder="1" applyAlignment="1">
      <alignment vertical="center" wrapText="1"/>
    </xf>
    <xf numFmtId="3" fontId="39" fillId="0" borderId="56" xfId="43" applyNumberFormat="1" applyFont="1" applyBorder="1" applyAlignment="1">
      <alignment vertical="center" wrapText="1"/>
    </xf>
    <xf numFmtId="172" fontId="31" fillId="0" borderId="56" xfId="65" applyNumberFormat="1" applyFont="1" applyFill="1" applyBorder="1" applyAlignment="1">
      <alignment vertical="center" wrapText="1"/>
    </xf>
    <xf numFmtId="9" fontId="32" fillId="0" borderId="56" xfId="43" applyNumberFormat="1" applyFont="1" applyBorder="1" applyAlignment="1">
      <alignment vertical="center" wrapText="1"/>
    </xf>
    <xf numFmtId="9" fontId="30" fillId="0" borderId="56" xfId="43" applyNumberFormat="1" applyFont="1" applyBorder="1" applyAlignment="1">
      <alignment vertical="center" wrapText="1"/>
    </xf>
    <xf numFmtId="1" fontId="31" fillId="0" borderId="56" xfId="43" applyNumberFormat="1" applyFont="1" applyBorder="1" applyAlignment="1">
      <alignment vertical="center" wrapText="1"/>
    </xf>
    <xf numFmtId="2" fontId="31" fillId="0" borderId="56" xfId="43" applyNumberFormat="1" applyFont="1" applyBorder="1" applyAlignment="1">
      <alignment vertical="center" wrapText="1"/>
    </xf>
    <xf numFmtId="187" fontId="31" fillId="0" borderId="56" xfId="43" applyNumberFormat="1" applyFont="1" applyBorder="1" applyAlignment="1">
      <alignment vertical="center" wrapText="1"/>
    </xf>
    <xf numFmtId="187" fontId="31" fillId="0" borderId="56" xfId="16" applyNumberFormat="1" applyFont="1" applyFill="1" applyBorder="1" applyAlignment="1">
      <alignment vertical="center" wrapText="1"/>
    </xf>
    <xf numFmtId="192" fontId="31" fillId="0" borderId="56" xfId="86" applyNumberFormat="1" applyFont="1" applyFill="1" applyBorder="1" applyAlignment="1">
      <alignment vertical="center" wrapText="1"/>
    </xf>
    <xf numFmtId="4" fontId="31" fillId="0" borderId="56" xfId="43" applyNumberFormat="1" applyFont="1" applyBorder="1" applyAlignment="1">
      <alignment vertical="center" wrapText="1"/>
    </xf>
    <xf numFmtId="190" fontId="31" fillId="0" borderId="56" xfId="43" applyNumberFormat="1" applyFont="1" applyBorder="1" applyAlignment="1">
      <alignment vertical="center" wrapText="1"/>
    </xf>
    <xf numFmtId="0" fontId="25" fillId="0" borderId="56" xfId="43" applyFont="1" applyBorder="1" applyAlignment="1">
      <alignment vertical="center" wrapText="1"/>
    </xf>
    <xf numFmtId="9" fontId="31" fillId="0" borderId="31" xfId="43" applyNumberFormat="1" applyFont="1" applyBorder="1" applyAlignment="1">
      <alignment vertical="center" wrapText="1"/>
    </xf>
    <xf numFmtId="2" fontId="31" fillId="0" borderId="31" xfId="43" applyNumberFormat="1" applyFont="1" applyBorder="1" applyAlignment="1">
      <alignment vertical="center" wrapText="1"/>
    </xf>
    <xf numFmtId="172" fontId="39" fillId="0" borderId="56" xfId="65" applyNumberFormat="1" applyFont="1" applyFill="1" applyBorder="1" applyAlignment="1">
      <alignment vertical="center" wrapText="1"/>
    </xf>
    <xf numFmtId="172" fontId="39" fillId="0" borderId="56" xfId="65" applyNumberFormat="1" applyFont="1" applyFill="1" applyBorder="1" applyAlignment="1">
      <alignment horizontal="left" vertical="center" wrapText="1"/>
    </xf>
    <xf numFmtId="172" fontId="32" fillId="0" borderId="56" xfId="65" applyNumberFormat="1" applyFont="1" applyFill="1" applyBorder="1" applyAlignment="1">
      <alignment vertical="center" wrapText="1"/>
    </xf>
    <xf numFmtId="172" fontId="30" fillId="0" borderId="56" xfId="65" applyNumberFormat="1" applyFont="1" applyFill="1" applyBorder="1" applyAlignment="1">
      <alignment vertical="center" wrapText="1"/>
    </xf>
    <xf numFmtId="172" fontId="31" fillId="0" borderId="56" xfId="63" applyNumberFormat="1" applyFont="1" applyFill="1" applyBorder="1" applyAlignment="1">
      <alignment vertical="center" wrapText="1"/>
    </xf>
    <xf numFmtId="172" fontId="25" fillId="0" borderId="56" xfId="65" applyNumberFormat="1" applyFont="1" applyFill="1" applyBorder="1" applyAlignment="1">
      <alignment vertical="center" wrapText="1"/>
    </xf>
    <xf numFmtId="172" fontId="31" fillId="0" borderId="31" xfId="65" applyNumberFormat="1" applyFont="1" applyFill="1" applyBorder="1" applyAlignment="1">
      <alignment vertical="center" wrapText="1"/>
    </xf>
    <xf numFmtId="172" fontId="8" fillId="0" borderId="56" xfId="65" applyNumberFormat="1" applyFont="1" applyFill="1" applyBorder="1" applyAlignment="1">
      <alignment vertical="center" wrapText="1"/>
    </xf>
    <xf numFmtId="172" fontId="70" fillId="0" borderId="56" xfId="65" applyNumberFormat="1" applyFont="1" applyFill="1" applyBorder="1" applyAlignment="1">
      <alignment vertical="center" wrapText="1"/>
    </xf>
    <xf numFmtId="172" fontId="2" fillId="0" borderId="56" xfId="65" applyNumberFormat="1" applyFont="1" applyFill="1" applyBorder="1" applyAlignment="1">
      <alignment vertical="center" wrapText="1"/>
    </xf>
    <xf numFmtId="172" fontId="31" fillId="0" borderId="56" xfId="65" applyNumberFormat="1" applyFont="1" applyFill="1" applyBorder="1" applyAlignment="1">
      <alignment vertical="center"/>
    </xf>
    <xf numFmtId="172" fontId="25" fillId="0" borderId="31" xfId="65" applyNumberFormat="1" applyFont="1" applyFill="1" applyBorder="1" applyAlignment="1">
      <alignment vertical="center" wrapText="1"/>
    </xf>
    <xf numFmtId="172" fontId="2" fillId="0" borderId="0" xfId="65" applyNumberFormat="1" applyFont="1" applyFill="1" applyAlignment="1">
      <alignment vertical="center"/>
    </xf>
    <xf numFmtId="172" fontId="25" fillId="0" borderId="0" xfId="65" applyNumberFormat="1" applyFont="1" applyFill="1" applyBorder="1" applyAlignment="1">
      <alignment vertical="center" wrapText="1"/>
    </xf>
    <xf numFmtId="195" fontId="36" fillId="0" borderId="31" xfId="0" applyNumberFormat="1" applyFont="1" applyBorder="1" applyAlignment="1">
      <alignment horizontal="center" vertical="center" wrapText="1"/>
    </xf>
    <xf numFmtId="0" fontId="8" fillId="0" borderId="56" xfId="44" applyFont="1" applyBorder="1" applyAlignment="1">
      <alignment vertical="center"/>
    </xf>
    <xf numFmtId="1" fontId="8" fillId="0" borderId="56" xfId="44" applyNumberFormat="1" applyFont="1" applyBorder="1" applyAlignment="1">
      <alignment horizontal="center" vertical="center"/>
    </xf>
    <xf numFmtId="0" fontId="8" fillId="0" borderId="56" xfId="44" applyFont="1" applyBorder="1" applyAlignment="1">
      <alignment horizontal="center" vertical="center"/>
    </xf>
    <xf numFmtId="0" fontId="8" fillId="0" borderId="56" xfId="44" applyFont="1" applyBorder="1" applyAlignment="1">
      <alignment horizontal="right" vertical="center"/>
    </xf>
    <xf numFmtId="9" fontId="8" fillId="0" borderId="56" xfId="79" applyFont="1" applyFill="1" applyBorder="1" applyAlignment="1">
      <alignment horizontal="right" vertical="center"/>
    </xf>
    <xf numFmtId="3" fontId="8" fillId="0" borderId="56" xfId="44" applyNumberFormat="1" applyFont="1" applyBorder="1" applyAlignment="1">
      <alignment vertical="center"/>
    </xf>
    <xf numFmtId="9" fontId="2" fillId="0" borderId="56" xfId="79" applyFont="1" applyFill="1" applyBorder="1" applyAlignment="1">
      <alignment horizontal="right" vertical="center"/>
    </xf>
    <xf numFmtId="9" fontId="2" fillId="0" borderId="56" xfId="79" applyFont="1" applyFill="1" applyBorder="1" applyAlignment="1">
      <alignment vertical="center"/>
    </xf>
    <xf numFmtId="0" fontId="2" fillId="0" borderId="56" xfId="43" applyFont="1" applyBorder="1" applyAlignment="1">
      <alignment vertical="center"/>
    </xf>
    <xf numFmtId="9" fontId="25" fillId="0" borderId="56" xfId="79" applyFont="1" applyFill="1" applyBorder="1" applyAlignment="1">
      <alignment vertical="center"/>
    </xf>
    <xf numFmtId="14" fontId="8" fillId="0" borderId="56" xfId="44" applyNumberFormat="1" applyFont="1" applyBorder="1" applyAlignment="1">
      <alignment vertical="center"/>
    </xf>
    <xf numFmtId="0" fontId="2" fillId="0" borderId="56" xfId="43" applyFont="1" applyBorder="1" applyAlignment="1">
      <alignment vertical="center" wrapText="1"/>
    </xf>
    <xf numFmtId="0" fontId="25" fillId="0" borderId="56" xfId="44" applyFont="1" applyBorder="1" applyAlignment="1">
      <alignment horizontal="center" vertical="center" wrapText="1"/>
    </xf>
    <xf numFmtId="0" fontId="25" fillId="0" borderId="56" xfId="44" applyFont="1" applyBorder="1" applyAlignment="1">
      <alignment vertical="center" wrapText="1"/>
    </xf>
    <xf numFmtId="9" fontId="8" fillId="0" borderId="56" xfId="44" applyNumberFormat="1" applyFont="1" applyBorder="1" applyAlignment="1">
      <alignment horizontal="center" vertical="center"/>
    </xf>
    <xf numFmtId="0" fontId="25" fillId="0" borderId="56" xfId="44" applyFont="1" applyBorder="1" applyAlignment="1">
      <alignment horizontal="left" vertical="center" wrapText="1"/>
    </xf>
    <xf numFmtId="9" fontId="25" fillId="0" borderId="56" xfId="79" applyFont="1" applyFill="1" applyBorder="1" applyAlignment="1">
      <alignment vertical="center" wrapText="1"/>
    </xf>
    <xf numFmtId="3" fontId="25" fillId="0" borderId="56" xfId="79" applyNumberFormat="1" applyFont="1" applyFill="1" applyBorder="1" applyAlignment="1">
      <alignment vertical="center" wrapText="1"/>
    </xf>
    <xf numFmtId="3" fontId="25" fillId="4" borderId="56" xfId="79" applyNumberFormat="1" applyFont="1" applyFill="1" applyBorder="1" applyAlignment="1">
      <alignment vertical="center" wrapText="1"/>
    </xf>
    <xf numFmtId="172" fontId="25" fillId="0" borderId="56" xfId="79" applyNumberFormat="1" applyFont="1" applyFill="1" applyBorder="1" applyAlignment="1">
      <alignment vertical="center"/>
    </xf>
    <xf numFmtId="14" fontId="25" fillId="0" borderId="56" xfId="44" applyNumberFormat="1" applyFont="1" applyBorder="1" applyAlignment="1">
      <alignment vertical="center" wrapText="1"/>
    </xf>
    <xf numFmtId="3" fontId="25" fillId="0" borderId="56" xfId="44" applyNumberFormat="1" applyFont="1" applyBorder="1" applyAlignment="1">
      <alignment vertical="center" wrapText="1"/>
    </xf>
    <xf numFmtId="172" fontId="25" fillId="0" borderId="56" xfId="79" applyNumberFormat="1" applyFont="1" applyFill="1" applyBorder="1" applyAlignment="1">
      <alignment horizontal="right" vertical="center" wrapText="1"/>
    </xf>
    <xf numFmtId="0" fontId="25" fillId="0" borderId="27" xfId="43" applyFont="1" applyBorder="1" applyAlignment="1">
      <alignment vertical="center" wrapText="1"/>
    </xf>
    <xf numFmtId="0" fontId="25" fillId="0" borderId="29" xfId="43" applyFont="1" applyBorder="1" applyAlignment="1">
      <alignment vertical="center" wrapText="1"/>
    </xf>
    <xf numFmtId="0" fontId="25" fillId="0" borderId="32" xfId="43" applyFont="1" applyBorder="1" applyAlignment="1">
      <alignment vertical="center" wrapText="1"/>
    </xf>
    <xf numFmtId="0" fontId="25" fillId="0" borderId="27" xfId="44" applyFont="1" applyBorder="1" applyAlignment="1">
      <alignment vertical="center" wrapText="1"/>
    </xf>
    <xf numFmtId="9" fontId="8" fillId="0" borderId="56" xfId="44" applyNumberFormat="1" applyFont="1" applyBorder="1" applyAlignment="1">
      <alignment vertical="center"/>
    </xf>
    <xf numFmtId="0" fontId="38" fillId="13" borderId="0" xfId="0" applyFont="1" applyFill="1" applyAlignment="1">
      <alignment vertical="center"/>
    </xf>
    <xf numFmtId="172" fontId="25" fillId="0" borderId="56" xfId="79" applyNumberFormat="1" applyFont="1" applyFill="1" applyBorder="1" applyAlignment="1">
      <alignment vertical="center" wrapText="1"/>
    </xf>
    <xf numFmtId="0" fontId="31" fillId="0" borderId="56" xfId="44" applyFont="1" applyBorder="1" applyAlignment="1">
      <alignment vertical="center" wrapText="1"/>
    </xf>
    <xf numFmtId="172" fontId="31" fillId="0" borderId="56" xfId="0" applyNumberFormat="1" applyFont="1" applyBorder="1" applyAlignment="1">
      <alignment horizontal="left" vertical="center" wrapText="1"/>
    </xf>
    <xf numFmtId="172" fontId="31" fillId="0" borderId="56" xfId="0" applyNumberFormat="1" applyFont="1" applyBorder="1"/>
    <xf numFmtId="172" fontId="31" fillId="0" borderId="14" xfId="0" applyNumberFormat="1" applyFont="1" applyBorder="1" applyAlignment="1">
      <alignment vertical="center"/>
    </xf>
    <xf numFmtId="0" fontId="31" fillId="0" borderId="30" xfId="0" applyFont="1" applyBorder="1"/>
    <xf numFmtId="172" fontId="39" fillId="0" borderId="0" xfId="63" applyNumberFormat="1" applyFont="1" applyFill="1" applyBorder="1" applyAlignment="1">
      <alignment vertical="center"/>
    </xf>
    <xf numFmtId="172" fontId="31" fillId="0" borderId="57" xfId="0" applyNumberFormat="1" applyFont="1" applyBorder="1" applyAlignment="1">
      <alignment vertical="center"/>
    </xf>
    <xf numFmtId="14" fontId="25" fillId="0" borderId="30" xfId="48" applyNumberFormat="1" applyFont="1" applyBorder="1" applyAlignment="1">
      <alignment horizontal="center" vertical="center" wrapText="1"/>
    </xf>
    <xf numFmtId="0" fontId="0" fillId="0" borderId="30" xfId="0" applyBorder="1" applyAlignment="1">
      <alignment vertical="top" wrapText="1"/>
    </xf>
    <xf numFmtId="172" fontId="25" fillId="0" borderId="30" xfId="69" applyNumberFormat="1" applyFont="1" applyFill="1" applyBorder="1" applyAlignment="1">
      <alignment vertical="center" wrapText="1"/>
    </xf>
    <xf numFmtId="172" fontId="25" fillId="0" borderId="57" xfId="69" applyNumberFormat="1" applyFont="1" applyFill="1" applyBorder="1" applyAlignment="1">
      <alignment vertical="center" wrapText="1"/>
    </xf>
    <xf numFmtId="172" fontId="25" fillId="0" borderId="57" xfId="79" applyNumberFormat="1" applyFont="1" applyFill="1" applyBorder="1" applyAlignment="1">
      <alignment horizontal="right" vertical="center" wrapText="1"/>
    </xf>
    <xf numFmtId="0" fontId="8" fillId="0" borderId="6" xfId="35" applyFont="1" applyBorder="1" applyAlignment="1">
      <alignment horizontal="center" vertical="center"/>
    </xf>
    <xf numFmtId="0" fontId="8" fillId="0" borderId="2" xfId="35" applyFont="1" applyBorder="1" applyAlignment="1">
      <alignment horizontal="center" vertical="center"/>
    </xf>
    <xf numFmtId="0" fontId="11" fillId="0" borderId="1" xfId="35" applyFont="1" applyBorder="1" applyAlignment="1">
      <alignment horizontal="center" vertical="center" wrapText="1"/>
    </xf>
    <xf numFmtId="0" fontId="11" fillId="0" borderId="6" xfId="35" applyFont="1" applyBorder="1" applyAlignment="1">
      <alignment horizontal="center" vertical="center" wrapText="1"/>
    </xf>
    <xf numFmtId="0" fontId="11" fillId="0" borderId="2" xfId="35" applyFont="1" applyBorder="1" applyAlignment="1">
      <alignment horizontal="center" vertical="center" wrapText="1"/>
    </xf>
    <xf numFmtId="0" fontId="4" fillId="0" borderId="1" xfId="39" applyFont="1" applyBorder="1" applyAlignment="1">
      <alignment horizontal="center" vertical="center" wrapText="1"/>
    </xf>
    <xf numFmtId="0" fontId="4" fillId="0" borderId="1" xfId="38" applyFont="1" applyBorder="1" applyAlignment="1">
      <alignment horizontal="center" vertical="center" wrapText="1"/>
    </xf>
    <xf numFmtId="0" fontId="4" fillId="0" borderId="1" xfId="44" applyFont="1" applyBorder="1" applyAlignment="1">
      <alignment horizontal="center" vertical="center" wrapText="1"/>
    </xf>
    <xf numFmtId="0" fontId="2" fillId="2" borderId="2" xfId="43" applyFont="1" applyFill="1" applyBorder="1" applyAlignment="1">
      <alignment horizontal="center" vertical="center"/>
    </xf>
    <xf numFmtId="0" fontId="4" fillId="0" borderId="1" xfId="43" applyFont="1" applyBorder="1" applyAlignment="1">
      <alignment horizontal="center" vertical="center" wrapText="1"/>
    </xf>
    <xf numFmtId="0" fontId="5" fillId="2" borderId="7" xfId="43" applyFont="1" applyFill="1" applyBorder="1" applyAlignment="1">
      <alignment horizontal="center" vertical="center" wrapText="1"/>
    </xf>
    <xf numFmtId="0" fontId="5" fillId="2" borderId="8" xfId="43" applyFont="1" applyFill="1" applyBorder="1" applyAlignment="1">
      <alignment horizontal="center" vertical="center" wrapText="1"/>
    </xf>
    <xf numFmtId="0" fontId="5" fillId="2" borderId="9" xfId="43" applyFont="1" applyFill="1" applyBorder="1" applyAlignment="1">
      <alignment horizontal="center" vertical="center" wrapText="1"/>
    </xf>
    <xf numFmtId="0" fontId="6" fillId="2" borderId="1" xfId="44" applyFont="1" applyFill="1" applyBorder="1" applyAlignment="1">
      <alignment horizontal="center" vertical="center" wrapText="1"/>
    </xf>
    <xf numFmtId="0" fontId="6" fillId="0" borderId="1" xfId="39" applyFont="1" applyBorder="1" applyAlignment="1">
      <alignment horizontal="center" vertical="center" wrapText="1"/>
    </xf>
    <xf numFmtId="14" fontId="6" fillId="0" borderId="1" xfId="39" applyNumberFormat="1" applyFont="1" applyBorder="1" applyAlignment="1">
      <alignment horizontal="center" vertical="center" wrapText="1"/>
    </xf>
    <xf numFmtId="0" fontId="25" fillId="0" borderId="30" xfId="0" applyFont="1" applyBorder="1" applyAlignment="1">
      <alignment horizontal="center" vertical="center"/>
    </xf>
    <xf numFmtId="1" fontId="25" fillId="0" borderId="30" xfId="0" applyNumberFormat="1" applyFont="1" applyBorder="1" applyAlignment="1">
      <alignment horizontal="center" vertical="center" wrapText="1"/>
    </xf>
    <xf numFmtId="0" fontId="25" fillId="0" borderId="30" xfId="0" applyFont="1" applyBorder="1" applyAlignment="1">
      <alignment vertical="center" wrapText="1"/>
    </xf>
    <xf numFmtId="172" fontId="25" fillId="0" borderId="30" xfId="0" applyNumberFormat="1" applyFont="1" applyBorder="1" applyAlignment="1">
      <alignment horizontal="center" vertical="center" wrapText="1"/>
    </xf>
    <xf numFmtId="0" fontId="25" fillId="0" borderId="44" xfId="44" applyFont="1" applyBorder="1" applyAlignment="1">
      <alignment horizontal="center" vertical="center" wrapText="1"/>
    </xf>
    <xf numFmtId="0" fontId="25" fillId="0" borderId="45" xfId="44" applyFont="1" applyBorder="1" applyAlignment="1">
      <alignment horizontal="center" vertical="center" wrapText="1"/>
    </xf>
    <xf numFmtId="1" fontId="25" fillId="0" borderId="30" xfId="0" applyNumberFormat="1" applyFont="1" applyBorder="1" applyAlignment="1">
      <alignment horizontal="center" vertical="center"/>
    </xf>
    <xf numFmtId="172" fontId="25" fillId="0" borderId="30" xfId="0" applyNumberFormat="1" applyFont="1" applyBorder="1" applyAlignment="1">
      <alignment horizontal="center" vertical="center"/>
    </xf>
    <xf numFmtId="0" fontId="25" fillId="0" borderId="30" xfId="0" applyFont="1" applyBorder="1" applyAlignment="1">
      <alignment vertical="center"/>
    </xf>
    <xf numFmtId="172" fontId="25" fillId="4" borderId="30" xfId="0" applyNumberFormat="1" applyFont="1" applyFill="1" applyBorder="1" applyAlignment="1">
      <alignment horizontal="center" vertical="center"/>
    </xf>
    <xf numFmtId="0" fontId="25" fillId="0" borderId="5" xfId="44" applyFont="1" applyBorder="1" applyAlignment="1">
      <alignment horizontal="center" vertical="center" wrapText="1"/>
    </xf>
    <xf numFmtId="0" fontId="25" fillId="0" borderId="27" xfId="0" applyFont="1" applyBorder="1" applyAlignment="1">
      <alignment horizontal="center" vertical="center"/>
    </xf>
    <xf numFmtId="0" fontId="25" fillId="0" borderId="31" xfId="0" applyFont="1" applyBorder="1" applyAlignment="1">
      <alignment horizontal="center" vertical="center"/>
    </xf>
    <xf numFmtId="0" fontId="25" fillId="0" borderId="27" xfId="0" applyFont="1" applyBorder="1" applyAlignment="1">
      <alignment vertical="center" wrapText="1"/>
    </xf>
    <xf numFmtId="0" fontId="25" fillId="0" borderId="31" xfId="0" applyFont="1" applyBorder="1" applyAlignment="1">
      <alignment vertical="center" wrapText="1"/>
    </xf>
    <xf numFmtId="172" fontId="25" fillId="4" borderId="27" xfId="0" applyNumberFormat="1" applyFont="1" applyFill="1" applyBorder="1" applyAlignment="1">
      <alignment horizontal="center" vertical="center"/>
    </xf>
    <xf numFmtId="172" fontId="25" fillId="4" borderId="31" xfId="0" applyNumberFormat="1" applyFont="1" applyFill="1" applyBorder="1" applyAlignment="1">
      <alignment horizontal="center" vertical="center"/>
    </xf>
    <xf numFmtId="0" fontId="25" fillId="0" borderId="47" xfId="44" applyFont="1" applyBorder="1" applyAlignment="1">
      <alignment horizontal="center" vertical="center" wrapText="1"/>
    </xf>
    <xf numFmtId="0" fontId="25" fillId="0" borderId="50" xfId="44" applyFont="1" applyBorder="1" applyAlignment="1">
      <alignment horizontal="center" vertical="center" wrapText="1"/>
    </xf>
    <xf numFmtId="0" fontId="31" fillId="0" borderId="14" xfId="0" applyFont="1" applyBorder="1" applyAlignment="1">
      <alignment horizontal="center" vertical="center"/>
    </xf>
    <xf numFmtId="0" fontId="40" fillId="0" borderId="15" xfId="0" applyFont="1" applyBorder="1" applyAlignment="1">
      <alignment vertical="center"/>
    </xf>
    <xf numFmtId="0" fontId="40" fillId="0" borderId="37" xfId="0" applyFont="1" applyBorder="1" applyAlignment="1">
      <alignment vertical="center"/>
    </xf>
    <xf numFmtId="0" fontId="31" fillId="0" borderId="14" xfId="0" applyFont="1" applyBorder="1" applyAlignment="1">
      <alignment vertical="center" wrapText="1"/>
    </xf>
    <xf numFmtId="0" fontId="31" fillId="0" borderId="14" xfId="0" applyFont="1" applyBorder="1" applyAlignment="1">
      <alignment horizontal="center" vertical="center" wrapText="1"/>
    </xf>
    <xf numFmtId="10" fontId="25" fillId="0" borderId="27" xfId="0" applyNumberFormat="1" applyFont="1" applyBorder="1" applyAlignment="1">
      <alignment horizontal="center" vertical="center"/>
    </xf>
    <xf numFmtId="10" fontId="25" fillId="0" borderId="29" xfId="0" applyNumberFormat="1" applyFont="1" applyBorder="1" applyAlignment="1">
      <alignment horizontal="center" vertical="center"/>
    </xf>
    <xf numFmtId="10" fontId="25" fillId="0" borderId="40" xfId="0" applyNumberFormat="1" applyFont="1" applyBorder="1" applyAlignment="1">
      <alignment horizontal="center" vertical="center"/>
    </xf>
    <xf numFmtId="0" fontId="40" fillId="0" borderId="13" xfId="0" applyFont="1" applyBorder="1" applyAlignment="1">
      <alignment vertical="center"/>
    </xf>
    <xf numFmtId="172" fontId="25" fillId="0" borderId="27" xfId="0" applyNumberFormat="1" applyFont="1" applyBorder="1" applyAlignment="1">
      <alignment horizontal="center" vertical="center"/>
    </xf>
    <xf numFmtId="172" fontId="25" fillId="0" borderId="29" xfId="0" applyNumberFormat="1" applyFont="1" applyBorder="1" applyAlignment="1">
      <alignment horizontal="center" vertical="center"/>
    </xf>
    <xf numFmtId="0" fontId="4" fillId="0" borderId="6" xfId="39" applyFont="1" applyBorder="1" applyAlignment="1">
      <alignment horizontal="center" vertical="center" wrapText="1"/>
    </xf>
    <xf numFmtId="0" fontId="25" fillId="0" borderId="10" xfId="44" applyFont="1" applyBorder="1" applyAlignment="1">
      <alignment horizontal="center" vertical="center" wrapText="1"/>
    </xf>
    <xf numFmtId="0" fontId="25" fillId="0" borderId="19" xfId="44" applyFont="1" applyBorder="1" applyAlignment="1">
      <alignment horizontal="center" vertical="center" wrapText="1"/>
    </xf>
    <xf numFmtId="0" fontId="25" fillId="0" borderId="10" xfId="49" applyFont="1" applyBorder="1" applyAlignment="1">
      <alignment horizontal="center" vertical="center"/>
    </xf>
    <xf numFmtId="0" fontId="25" fillId="0" borderId="19" xfId="49" applyFont="1" applyBorder="1" applyAlignment="1">
      <alignment horizontal="center" vertical="center"/>
    </xf>
    <xf numFmtId="1" fontId="25" fillId="0" borderId="10" xfId="43" quotePrefix="1" applyNumberFormat="1" applyFont="1" applyBorder="1" applyAlignment="1">
      <alignment horizontal="center" vertical="center" wrapText="1"/>
    </xf>
    <xf numFmtId="1" fontId="25" fillId="0" borderId="19" xfId="43" quotePrefix="1" applyNumberFormat="1" applyFont="1" applyBorder="1" applyAlignment="1">
      <alignment horizontal="center" vertical="center" wrapText="1"/>
    </xf>
    <xf numFmtId="1" fontId="25" fillId="2" borderId="10" xfId="43" applyNumberFormat="1" applyFont="1" applyFill="1" applyBorder="1" applyAlignment="1">
      <alignment horizontal="center" vertical="center" wrapText="1"/>
    </xf>
    <xf numFmtId="1" fontId="25" fillId="2" borderId="19" xfId="43" applyNumberFormat="1" applyFont="1" applyFill="1" applyBorder="1" applyAlignment="1">
      <alignment horizontal="center" vertical="center" wrapText="1"/>
    </xf>
    <xf numFmtId="0" fontId="11" fillId="2" borderId="10" xfId="43" applyFont="1" applyFill="1" applyBorder="1" applyAlignment="1">
      <alignment vertical="center" wrapText="1"/>
    </xf>
    <xf numFmtId="0" fontId="11" fillId="2" borderId="19" xfId="43" applyFont="1" applyFill="1" applyBorder="1" applyAlignment="1">
      <alignment vertical="center" wrapText="1"/>
    </xf>
    <xf numFmtId="172" fontId="25" fillId="0" borderId="10" xfId="65" applyNumberFormat="1" applyFont="1" applyFill="1" applyBorder="1" applyAlignment="1">
      <alignment horizontal="center" vertical="center" wrapText="1"/>
    </xf>
    <xf numFmtId="172" fontId="25" fillId="0" borderId="19" xfId="65" applyNumberFormat="1" applyFont="1" applyFill="1" applyBorder="1" applyAlignment="1">
      <alignment horizontal="center" vertical="center" wrapText="1"/>
    </xf>
    <xf numFmtId="0" fontId="5" fillId="2" borderId="20" xfId="43" applyFont="1" applyFill="1" applyBorder="1" applyAlignment="1">
      <alignment horizontal="center" vertical="center" wrapText="1"/>
    </xf>
    <xf numFmtId="0" fontId="4" fillId="0" borderId="28" xfId="43" applyFont="1" applyBorder="1" applyAlignment="1">
      <alignment horizontal="center" vertical="center" wrapText="1"/>
    </xf>
    <xf numFmtId="0" fontId="4" fillId="0" borderId="28" xfId="44" applyFont="1" applyBorder="1" applyAlignment="1">
      <alignment horizontal="center" vertical="center" wrapText="1"/>
    </xf>
    <xf numFmtId="0" fontId="4" fillId="0" borderId="28" xfId="38" applyFont="1" applyBorder="1" applyAlignment="1">
      <alignment horizontal="center" vertical="center" wrapText="1"/>
    </xf>
    <xf numFmtId="0" fontId="4" fillId="0" borderId="28" xfId="39" applyFont="1" applyBorder="1" applyAlignment="1">
      <alignment horizontal="center" vertical="center" wrapText="1"/>
    </xf>
    <xf numFmtId="0" fontId="25" fillId="0" borderId="30" xfId="44" applyFont="1" applyBorder="1" applyAlignment="1">
      <alignment horizontal="center" vertical="center" wrapText="1"/>
    </xf>
    <xf numFmtId="0" fontId="25" fillId="0" borderId="30" xfId="44" applyFont="1" applyBorder="1" applyAlignment="1">
      <alignment vertical="center" wrapText="1"/>
    </xf>
    <xf numFmtId="0" fontId="25" fillId="0" borderId="30" xfId="44" applyFont="1" applyBorder="1" applyAlignment="1">
      <alignment horizontal="center" vertical="center"/>
    </xf>
    <xf numFmtId="0" fontId="11" fillId="0" borderId="30" xfId="44" applyFont="1" applyBorder="1" applyAlignment="1">
      <alignment horizontal="center" vertical="center"/>
    </xf>
    <xf numFmtId="0" fontId="11" fillId="0" borderId="30" xfId="44" applyFont="1" applyBorder="1" applyAlignment="1">
      <alignment vertical="center" wrapText="1"/>
    </xf>
    <xf numFmtId="10" fontId="25" fillId="0" borderId="30" xfId="49" applyNumberFormat="1" applyFont="1" applyBorder="1" applyAlignment="1">
      <alignment horizontal="center" vertical="center" wrapText="1"/>
    </xf>
    <xf numFmtId="0" fontId="25" fillId="0" borderId="30" xfId="49" applyFont="1" applyBorder="1" applyAlignment="1">
      <alignment vertical="center" wrapText="1"/>
    </xf>
    <xf numFmtId="0" fontId="74" fillId="0" borderId="30" xfId="44" applyFont="1" applyBorder="1" applyAlignment="1">
      <alignment horizontal="center" vertical="center"/>
    </xf>
    <xf numFmtId="10" fontId="25" fillId="0" borderId="30" xfId="44" applyNumberFormat="1" applyFont="1" applyBorder="1" applyAlignment="1">
      <alignment horizontal="center" vertical="center"/>
    </xf>
    <xf numFmtId="0" fontId="25" fillId="0" borderId="31" xfId="44" applyFont="1" applyBorder="1" applyAlignment="1">
      <alignment horizontal="center" vertical="center" wrapText="1"/>
    </xf>
    <xf numFmtId="0" fontId="25" fillId="0" borderId="30" xfId="49" applyFont="1" applyBorder="1" applyAlignment="1">
      <alignment horizontal="center" vertical="center"/>
    </xf>
    <xf numFmtId="0" fontId="25" fillId="0" borderId="31" xfId="49" applyFont="1" applyBorder="1" applyAlignment="1">
      <alignment horizontal="center" vertical="center"/>
    </xf>
    <xf numFmtId="1" fontId="25" fillId="0" borderId="30" xfId="44" quotePrefix="1" applyNumberFormat="1" applyFont="1" applyBorder="1" applyAlignment="1">
      <alignment horizontal="center" vertical="center" wrapText="1"/>
    </xf>
    <xf numFmtId="1" fontId="25" fillId="0" borderId="31" xfId="44" quotePrefix="1" applyNumberFormat="1" applyFont="1" applyBorder="1" applyAlignment="1">
      <alignment horizontal="center" vertical="center" wrapText="1"/>
    </xf>
    <xf numFmtId="0" fontId="25" fillId="0" borderId="31" xfId="44" applyFont="1" applyBorder="1" applyAlignment="1">
      <alignment horizontal="center" vertical="center"/>
    </xf>
    <xf numFmtId="0" fontId="11" fillId="0" borderId="31" xfId="44" applyFont="1" applyBorder="1" applyAlignment="1">
      <alignment vertical="center" wrapText="1"/>
    </xf>
    <xf numFmtId="172" fontId="25" fillId="0" borderId="30" xfId="44" applyNumberFormat="1" applyFont="1" applyBorder="1" applyAlignment="1">
      <alignment horizontal="center" vertical="center"/>
    </xf>
    <xf numFmtId="172" fontId="25" fillId="0" borderId="31" xfId="44" applyNumberFormat="1" applyFont="1" applyBorder="1" applyAlignment="1">
      <alignment horizontal="center" vertical="center"/>
    </xf>
    <xf numFmtId="0" fontId="4" fillId="0" borderId="20" xfId="44" applyFont="1" applyBorder="1" applyAlignment="1">
      <alignment horizontal="center" vertical="center" wrapText="1"/>
    </xf>
    <xf numFmtId="0" fontId="4" fillId="0" borderId="20" xfId="38" applyFont="1" applyBorder="1" applyAlignment="1">
      <alignment horizontal="center" vertical="center" wrapText="1"/>
    </xf>
    <xf numFmtId="0" fontId="4" fillId="0" borderId="20" xfId="39" applyFont="1" applyBorder="1" applyAlignment="1">
      <alignment horizontal="center" vertical="center" wrapText="1"/>
    </xf>
    <xf numFmtId="0" fontId="4" fillId="0" borderId="20" xfId="43" applyFont="1" applyBorder="1" applyAlignment="1">
      <alignment horizontal="center" vertical="center" wrapText="1"/>
    </xf>
    <xf numFmtId="0" fontId="62" fillId="0" borderId="10" xfId="0" applyFont="1" applyBorder="1" applyAlignment="1">
      <alignment horizontal="center" vertical="center" wrapText="1"/>
    </xf>
    <xf numFmtId="0" fontId="78" fillId="0" borderId="10" xfId="0" applyFont="1" applyBorder="1" applyAlignment="1">
      <alignment vertical="center"/>
    </xf>
    <xf numFmtId="0" fontId="62" fillId="0" borderId="14" xfId="0" applyFont="1" applyBorder="1" applyAlignment="1">
      <alignment horizontal="center" vertical="center" wrapText="1"/>
    </xf>
    <xf numFmtId="0" fontId="62" fillId="0" borderId="15" xfId="0" applyFont="1" applyBorder="1" applyAlignment="1">
      <alignment horizontal="center" vertical="center" wrapText="1"/>
    </xf>
    <xf numFmtId="0" fontId="62" fillId="0" borderId="13" xfId="0" applyFont="1" applyBorder="1" applyAlignment="1">
      <alignment horizontal="center" vertical="center" wrapText="1"/>
    </xf>
    <xf numFmtId="0" fontId="61" fillId="10" borderId="10" xfId="0" applyFont="1" applyFill="1" applyBorder="1" applyAlignment="1">
      <alignment horizontal="center" vertical="center"/>
    </xf>
    <xf numFmtId="0" fontId="61" fillId="10" borderId="10" xfId="0" applyFont="1" applyFill="1" applyBorder="1" applyAlignment="1">
      <alignment horizontal="left" vertical="center" wrapText="1"/>
    </xf>
    <xf numFmtId="172" fontId="61" fillId="0" borderId="10" xfId="0" applyNumberFormat="1" applyFont="1" applyBorder="1" applyAlignment="1">
      <alignment horizontal="center" vertical="center" wrapText="1"/>
    </xf>
    <xf numFmtId="172" fontId="78" fillId="0" borderId="10" xfId="0" applyNumberFormat="1" applyFont="1" applyBorder="1" applyAlignment="1">
      <alignment vertical="center"/>
    </xf>
    <xf numFmtId="1" fontId="61" fillId="10" borderId="10" xfId="0" applyNumberFormat="1" applyFont="1" applyFill="1" applyBorder="1" applyAlignment="1">
      <alignment horizontal="center" vertical="center" wrapText="1"/>
    </xf>
    <xf numFmtId="172" fontId="61" fillId="0" borderId="10" xfId="0" applyNumberFormat="1" applyFont="1" applyBorder="1" applyAlignment="1">
      <alignment horizontal="center" vertical="center"/>
    </xf>
    <xf numFmtId="0" fontId="61" fillId="10" borderId="10" xfId="0" applyFont="1" applyFill="1" applyBorder="1" applyAlignment="1">
      <alignment horizontal="center" vertical="center" wrapText="1"/>
    </xf>
    <xf numFmtId="1" fontId="82" fillId="10" borderId="10" xfId="0" applyNumberFormat="1" applyFont="1" applyFill="1" applyBorder="1" applyAlignment="1">
      <alignment horizontal="center" vertical="center" wrapText="1"/>
    </xf>
    <xf numFmtId="0" fontId="82" fillId="10" borderId="10" xfId="0" applyFont="1" applyFill="1" applyBorder="1" applyAlignment="1">
      <alignment horizontal="left" vertical="center" wrapText="1"/>
    </xf>
    <xf numFmtId="0" fontId="61" fillId="10" borderId="10" xfId="0" applyFont="1" applyFill="1" applyBorder="1" applyAlignment="1">
      <alignment vertical="center" wrapText="1"/>
    </xf>
    <xf numFmtId="0" fontId="62" fillId="10" borderId="10" xfId="0" applyFont="1" applyFill="1" applyBorder="1" applyAlignment="1">
      <alignment horizontal="center" vertical="center" wrapText="1"/>
    </xf>
    <xf numFmtId="0" fontId="31" fillId="10" borderId="10" xfId="0" applyFont="1" applyFill="1" applyBorder="1" applyAlignment="1">
      <alignment horizontal="left" vertical="center" wrapText="1"/>
    </xf>
    <xf numFmtId="0" fontId="12" fillId="0" borderId="10" xfId="0" applyFont="1" applyBorder="1" applyAlignment="1">
      <alignment vertical="center"/>
    </xf>
    <xf numFmtId="0" fontId="12" fillId="0" borderId="19" xfId="0" applyFont="1" applyBorder="1" applyAlignment="1">
      <alignment vertical="center"/>
    </xf>
    <xf numFmtId="0" fontId="36" fillId="10" borderId="10" xfId="0" applyFont="1" applyFill="1" applyBorder="1" applyAlignment="1">
      <alignment horizontal="center" vertical="center" wrapText="1"/>
    </xf>
    <xf numFmtId="0" fontId="36" fillId="10" borderId="14" xfId="0" applyFont="1" applyFill="1" applyBorder="1" applyAlignment="1">
      <alignment horizontal="center" vertical="center"/>
    </xf>
    <xf numFmtId="0" fontId="36" fillId="10" borderId="15" xfId="0" applyFont="1" applyFill="1" applyBorder="1" applyAlignment="1">
      <alignment horizontal="center" vertical="center"/>
    </xf>
    <xf numFmtId="0" fontId="36" fillId="10" borderId="37" xfId="0" applyFont="1" applyFill="1" applyBorder="1" applyAlignment="1">
      <alignment horizontal="center" vertical="center"/>
    </xf>
    <xf numFmtId="172" fontId="36" fillId="10" borderId="14" xfId="0" applyNumberFormat="1" applyFont="1" applyFill="1" applyBorder="1" applyAlignment="1">
      <alignment horizontal="center" vertical="center"/>
    </xf>
    <xf numFmtId="172" fontId="36" fillId="10" borderId="15" xfId="0" applyNumberFormat="1" applyFont="1" applyFill="1" applyBorder="1" applyAlignment="1">
      <alignment horizontal="center" vertical="center"/>
    </xf>
    <xf numFmtId="172" fontId="36" fillId="10" borderId="37" xfId="0" applyNumberFormat="1" applyFont="1" applyFill="1" applyBorder="1" applyAlignment="1">
      <alignment horizontal="center" vertical="center"/>
    </xf>
    <xf numFmtId="172" fontId="61" fillId="10" borderId="10" xfId="0" applyNumberFormat="1" applyFont="1" applyFill="1" applyBorder="1" applyAlignment="1">
      <alignment horizontal="center" vertical="center"/>
    </xf>
    <xf numFmtId="0" fontId="61" fillId="10" borderId="14" xfId="0" applyFont="1" applyFill="1" applyBorder="1" applyAlignment="1">
      <alignment horizontal="center" vertical="center"/>
    </xf>
    <xf numFmtId="0" fontId="61" fillId="10" borderId="15" xfId="0" applyFont="1" applyFill="1" applyBorder="1" applyAlignment="1">
      <alignment horizontal="center" vertical="center"/>
    </xf>
    <xf numFmtId="0" fontId="61" fillId="10" borderId="13" xfId="0" applyFont="1" applyFill="1" applyBorder="1" applyAlignment="1">
      <alignment horizontal="center" vertical="center"/>
    </xf>
    <xf numFmtId="0" fontId="61" fillId="10" borderId="14" xfId="0" applyFont="1" applyFill="1" applyBorder="1" applyAlignment="1">
      <alignment horizontal="center" vertical="center" wrapText="1"/>
    </xf>
    <xf numFmtId="0" fontId="61" fillId="10" borderId="15" xfId="0" applyFont="1" applyFill="1" applyBorder="1" applyAlignment="1">
      <alignment horizontal="center" vertical="center" wrapText="1"/>
    </xf>
    <xf numFmtId="0" fontId="61" fillId="10" borderId="13" xfId="0" applyFont="1" applyFill="1" applyBorder="1" applyAlignment="1">
      <alignment horizontal="center" vertical="center" wrapText="1"/>
    </xf>
    <xf numFmtId="1" fontId="61" fillId="10" borderId="14" xfId="0" applyNumberFormat="1" applyFont="1" applyFill="1" applyBorder="1" applyAlignment="1">
      <alignment horizontal="center" vertical="center" wrapText="1"/>
    </xf>
    <xf numFmtId="1" fontId="61" fillId="10" borderId="15" xfId="0" applyNumberFormat="1" applyFont="1" applyFill="1" applyBorder="1" applyAlignment="1">
      <alignment horizontal="center" vertical="center" wrapText="1"/>
    </xf>
    <xf numFmtId="1" fontId="61" fillId="10" borderId="13" xfId="0" applyNumberFormat="1" applyFont="1" applyFill="1" applyBorder="1" applyAlignment="1">
      <alignment horizontal="center" vertical="center" wrapText="1"/>
    </xf>
    <xf numFmtId="0" fontId="61" fillId="0" borderId="10" xfId="0" applyFont="1" applyBorder="1" applyAlignment="1">
      <alignment horizontal="center" vertical="center" wrapText="1"/>
    </xf>
    <xf numFmtId="0" fontId="61" fillId="0" borderId="10" xfId="0" applyFont="1" applyBorder="1" applyAlignment="1">
      <alignment horizontal="left" vertical="center" wrapText="1"/>
    </xf>
    <xf numFmtId="172" fontId="31" fillId="0" borderId="10" xfId="0" applyNumberFormat="1" applyFont="1" applyBorder="1" applyAlignment="1">
      <alignment horizontal="center" vertical="center" wrapText="1"/>
    </xf>
    <xf numFmtId="172" fontId="40" fillId="0" borderId="10" xfId="0" applyNumberFormat="1" applyFont="1" applyBorder="1" applyAlignment="1">
      <alignment vertical="center"/>
    </xf>
    <xf numFmtId="0" fontId="31" fillId="0" borderId="10" xfId="0" applyFont="1" applyBorder="1" applyAlignment="1">
      <alignment horizontal="center" vertical="center" wrapText="1"/>
    </xf>
    <xf numFmtId="0" fontId="40" fillId="0" borderId="10" xfId="0" applyFont="1" applyBorder="1" applyAlignment="1">
      <alignment vertical="center"/>
    </xf>
    <xf numFmtId="9" fontId="31" fillId="0" borderId="10" xfId="0" applyNumberFormat="1" applyFont="1" applyBorder="1" applyAlignment="1">
      <alignment horizontal="center" vertical="center"/>
    </xf>
    <xf numFmtId="0" fontId="61" fillId="0" borderId="10" xfId="0" applyFont="1" applyBorder="1" applyAlignment="1">
      <alignment horizontal="center" vertical="center"/>
    </xf>
    <xf numFmtId="3" fontId="31" fillId="0" borderId="10" xfId="0" applyNumberFormat="1" applyFont="1" applyBorder="1" applyAlignment="1">
      <alignment horizontal="center" vertical="center" wrapText="1"/>
    </xf>
    <xf numFmtId="0" fontId="31" fillId="0" borderId="10" xfId="0" applyFont="1" applyBorder="1" applyAlignment="1">
      <alignment horizontal="center" vertical="center"/>
    </xf>
    <xf numFmtId="0" fontId="61" fillId="0" borderId="10" xfId="0" applyFont="1" applyBorder="1" applyAlignment="1">
      <alignment horizontal="left" vertical="center"/>
    </xf>
    <xf numFmtId="0" fontId="31" fillId="0" borderId="10" xfId="0" applyFont="1" applyBorder="1" applyAlignment="1">
      <alignment vertical="center" wrapText="1"/>
    </xf>
    <xf numFmtId="172" fontId="31" fillId="0" borderId="14" xfId="0" applyNumberFormat="1" applyFont="1" applyBorder="1" applyAlignment="1">
      <alignment horizontal="center" vertical="center" wrapText="1"/>
    </xf>
    <xf numFmtId="172" fontId="31" fillId="0" borderId="15" xfId="0" applyNumberFormat="1" applyFont="1" applyBorder="1" applyAlignment="1">
      <alignment horizontal="center" vertical="center" wrapText="1"/>
    </xf>
    <xf numFmtId="172" fontId="31" fillId="0" borderId="13" xfId="0" applyNumberFormat="1" applyFont="1" applyBorder="1" applyAlignment="1">
      <alignment horizontal="center" vertical="center" wrapText="1"/>
    </xf>
    <xf numFmtId="0" fontId="68" fillId="0" borderId="10" xfId="0" applyFont="1" applyBorder="1" applyAlignment="1">
      <alignment horizontal="center" vertical="center" wrapText="1"/>
    </xf>
    <xf numFmtId="0" fontId="61" fillId="0" borderId="10" xfId="0" applyFont="1" applyBorder="1" applyAlignment="1">
      <alignment vertical="center" wrapText="1"/>
    </xf>
    <xf numFmtId="0" fontId="25" fillId="0" borderId="10" xfId="0" applyFont="1" applyBorder="1" applyAlignment="1">
      <alignment horizontal="center" vertical="center"/>
    </xf>
    <xf numFmtId="172" fontId="25" fillId="0" borderId="10" xfId="0" applyNumberFormat="1" applyFont="1" applyBorder="1" applyAlignment="1">
      <alignment horizontal="center" vertical="center" wrapText="1"/>
    </xf>
    <xf numFmtId="0" fontId="25" fillId="0" borderId="10" xfId="0" applyFont="1" applyBorder="1" applyAlignment="1">
      <alignment horizontal="center" vertical="center" wrapText="1"/>
    </xf>
    <xf numFmtId="172" fontId="31" fillId="0" borderId="10" xfId="0" applyNumberFormat="1" applyFont="1" applyBorder="1" applyAlignment="1">
      <alignment horizontal="center" vertical="center"/>
    </xf>
    <xf numFmtId="9" fontId="31" fillId="0" borderId="10" xfId="0" applyNumberFormat="1" applyFont="1" applyBorder="1" applyAlignment="1">
      <alignment horizontal="center" vertical="center" wrapText="1"/>
    </xf>
    <xf numFmtId="0" fontId="61" fillId="0" borderId="19" xfId="0" applyFont="1" applyBorder="1" applyAlignment="1">
      <alignment horizontal="center" vertical="center"/>
    </xf>
    <xf numFmtId="0" fontId="61" fillId="0" borderId="19" xfId="0" applyFont="1" applyBorder="1" applyAlignment="1">
      <alignment horizontal="center" vertical="center" wrapText="1"/>
    </xf>
    <xf numFmtId="0" fontId="61" fillId="0" borderId="19" xfId="0" applyFont="1" applyBorder="1" applyAlignment="1">
      <alignment horizontal="left" vertical="center" wrapText="1"/>
    </xf>
    <xf numFmtId="172" fontId="40" fillId="0" borderId="19" xfId="0" applyNumberFormat="1" applyFont="1" applyBorder="1" applyAlignment="1">
      <alignment vertical="center"/>
    </xf>
    <xf numFmtId="0" fontId="40" fillId="0" borderId="19" xfId="0" applyFont="1" applyBorder="1" applyAlignment="1">
      <alignment vertical="center"/>
    </xf>
    <xf numFmtId="0" fontId="4" fillId="0" borderId="21" xfId="38" applyFont="1" applyBorder="1" applyAlignment="1">
      <alignment horizontal="center" vertical="center" wrapText="1"/>
    </xf>
    <xf numFmtId="0" fontId="4" fillId="0" borderId="2" xfId="38" applyFont="1" applyBorder="1" applyAlignment="1">
      <alignment horizontal="center" vertical="center" wrapText="1"/>
    </xf>
    <xf numFmtId="0" fontId="5" fillId="0" borderId="20" xfId="43" applyFont="1" applyBorder="1" applyAlignment="1">
      <alignment horizontal="center" vertical="center" wrapText="1"/>
    </xf>
    <xf numFmtId="9" fontId="4" fillId="0" borderId="21" xfId="79" applyFont="1" applyFill="1" applyBorder="1" applyAlignment="1">
      <alignment horizontal="center" vertical="center" wrapText="1"/>
    </xf>
    <xf numFmtId="9" fontId="4" fillId="0" borderId="2" xfId="79" applyFont="1" applyFill="1" applyBorder="1" applyAlignment="1">
      <alignment horizontal="center" vertical="center" wrapText="1"/>
    </xf>
    <xf numFmtId="0" fontId="4" fillId="0" borderId="21" xfId="43" applyFont="1" applyBorder="1" applyAlignment="1">
      <alignment horizontal="center" vertical="center" wrapText="1"/>
    </xf>
    <xf numFmtId="0" fontId="4" fillId="0" borderId="2" xfId="43" applyFont="1" applyBorder="1" applyAlignment="1">
      <alignment horizontal="center" vertical="center" wrapText="1"/>
    </xf>
    <xf numFmtId="0" fontId="5" fillId="0" borderId="7" xfId="43" applyFont="1" applyBorder="1" applyAlignment="1">
      <alignment horizontal="center" vertical="center" wrapText="1"/>
    </xf>
    <xf numFmtId="0" fontId="5" fillId="0" borderId="8" xfId="43" applyFont="1" applyBorder="1" applyAlignment="1">
      <alignment horizontal="center" vertical="center" wrapText="1"/>
    </xf>
    <xf numFmtId="0" fontId="5" fillId="0" borderId="9" xfId="43" applyFont="1" applyBorder="1" applyAlignment="1">
      <alignment horizontal="center" vertical="center" wrapText="1"/>
    </xf>
    <xf numFmtId="0" fontId="6" fillId="0" borderId="1" xfId="44" applyFont="1" applyBorder="1" applyAlignment="1">
      <alignment horizontal="center" vertical="center" wrapText="1"/>
    </xf>
    <xf numFmtId="0" fontId="4" fillId="0" borderId="21" xfId="39" applyFont="1" applyBorder="1" applyAlignment="1">
      <alignment horizontal="center" vertical="center" wrapText="1"/>
    </xf>
    <xf numFmtId="0" fontId="4" fillId="0" borderId="2" xfId="39" applyFont="1" applyBorder="1" applyAlignment="1">
      <alignment horizontal="center" vertical="center" wrapText="1"/>
    </xf>
    <xf numFmtId="0" fontId="4" fillId="0" borderId="21" xfId="44" applyFont="1" applyBorder="1" applyAlignment="1">
      <alignment horizontal="center" vertical="center" wrapText="1"/>
    </xf>
    <xf numFmtId="0" fontId="4" fillId="0" borderId="2" xfId="44" applyFont="1" applyBorder="1" applyAlignment="1">
      <alignment horizontal="center" vertical="center" wrapText="1"/>
    </xf>
    <xf numFmtId="0" fontId="25" fillId="0" borderId="30" xfId="49" applyFont="1" applyBorder="1" applyAlignment="1">
      <alignment horizontal="center" vertical="center" wrapText="1"/>
    </xf>
    <xf numFmtId="1" fontId="25" fillId="0" borderId="30" xfId="43" applyNumberFormat="1" applyFont="1" applyBorder="1" applyAlignment="1">
      <alignment horizontal="center" vertical="center" wrapText="1"/>
    </xf>
    <xf numFmtId="0" fontId="11" fillId="0" borderId="30" xfId="43" applyFont="1" applyBorder="1" applyAlignment="1">
      <alignment horizontal="left" vertical="center" wrapText="1"/>
    </xf>
    <xf numFmtId="9" fontId="31" fillId="0" borderId="30" xfId="63" applyFont="1" applyBorder="1" applyAlignment="1">
      <alignment horizontal="center" vertical="center" wrapText="1"/>
    </xf>
    <xf numFmtId="0" fontId="25" fillId="0" borderId="30" xfId="49" applyFont="1" applyBorder="1" applyAlignment="1">
      <alignment horizontal="left" vertical="center" wrapText="1"/>
    </xf>
    <xf numFmtId="0" fontId="25" fillId="0" borderId="30" xfId="39" applyFont="1" applyBorder="1" applyAlignment="1">
      <alignment horizontal="left" vertical="center" wrapText="1"/>
    </xf>
    <xf numFmtId="0" fontId="25" fillId="0" borderId="30" xfId="39" applyFont="1" applyBorder="1" applyAlignment="1">
      <alignment horizontal="center" vertical="center" wrapText="1"/>
    </xf>
    <xf numFmtId="0" fontId="25" fillId="0" borderId="30" xfId="44" applyFont="1" applyBorder="1" applyAlignment="1">
      <alignment horizontal="left" vertical="center" wrapText="1"/>
    </xf>
    <xf numFmtId="9" fontId="31" fillId="0" borderId="30" xfId="63" applyFont="1" applyFill="1" applyBorder="1" applyAlignment="1">
      <alignment horizontal="center" vertical="center" wrapText="1"/>
    </xf>
    <xf numFmtId="0" fontId="25" fillId="0" borderId="30" xfId="44" applyFont="1" applyBorder="1" applyAlignment="1">
      <alignment horizontal="left" vertical="center"/>
    </xf>
    <xf numFmtId="9" fontId="25" fillId="0" borderId="30" xfId="63" applyFont="1" applyFill="1" applyBorder="1" applyAlignment="1">
      <alignment horizontal="center" vertical="center"/>
    </xf>
    <xf numFmtId="0" fontId="31" fillId="0" borderId="27" xfId="0" applyFont="1" applyBorder="1" applyAlignment="1">
      <alignment horizontal="center" vertical="center" wrapText="1"/>
    </xf>
    <xf numFmtId="0" fontId="31" fillId="0" borderId="29" xfId="0" applyFont="1" applyBorder="1" applyAlignment="1">
      <alignment horizontal="center" vertical="center" wrapText="1"/>
    </xf>
    <xf numFmtId="0" fontId="31" fillId="0" borderId="33" xfId="0" applyFont="1" applyBorder="1" applyAlignment="1">
      <alignment horizontal="center" vertical="center" wrapText="1"/>
    </xf>
    <xf numFmtId="1" fontId="25" fillId="0" borderId="30" xfId="44" applyNumberFormat="1" applyFont="1" applyBorder="1" applyAlignment="1">
      <alignment horizontal="center" vertical="center" wrapText="1"/>
    </xf>
    <xf numFmtId="0" fontId="31" fillId="0" borderId="30" xfId="0" applyFont="1" applyBorder="1" applyAlignment="1">
      <alignment horizontal="center" vertical="center"/>
    </xf>
    <xf numFmtId="0" fontId="31" fillId="0" borderId="30" xfId="0" applyFont="1" applyBorder="1" applyAlignment="1">
      <alignment horizontal="left" vertical="center" wrapText="1"/>
    </xf>
    <xf numFmtId="0" fontId="25" fillId="0" borderId="31" xfId="44" applyFont="1" applyBorder="1" applyAlignment="1">
      <alignment horizontal="left" vertical="center" wrapText="1"/>
    </xf>
    <xf numFmtId="9" fontId="31" fillId="0" borderId="31" xfId="63" applyFont="1" applyFill="1" applyBorder="1" applyAlignment="1">
      <alignment horizontal="center" vertical="center" wrapText="1"/>
    </xf>
    <xf numFmtId="0" fontId="37" fillId="0" borderId="0" xfId="0" applyFont="1" applyAlignment="1">
      <alignment horizontal="left" vertical="center"/>
    </xf>
    <xf numFmtId="0" fontId="31" fillId="0" borderId="32" xfId="0" applyFont="1" applyBorder="1" applyAlignment="1">
      <alignment horizontal="center" vertical="center" wrapText="1"/>
    </xf>
    <xf numFmtId="49" fontId="61" fillId="0" borderId="30" xfId="0" applyNumberFormat="1" applyFont="1" applyBorder="1" applyAlignment="1">
      <alignment horizontal="center" vertical="center" wrapText="1"/>
    </xf>
    <xf numFmtId="0" fontId="92" fillId="0" borderId="30" xfId="0" applyFont="1" applyBorder="1"/>
    <xf numFmtId="0" fontId="61" fillId="10" borderId="30" xfId="0" applyFont="1" applyFill="1" applyBorder="1" applyAlignment="1">
      <alignment horizontal="center" vertical="center"/>
    </xf>
    <xf numFmtId="1" fontId="61" fillId="10" borderId="30" xfId="0" applyNumberFormat="1" applyFont="1" applyFill="1" applyBorder="1" applyAlignment="1">
      <alignment horizontal="center" vertical="center" wrapText="1"/>
    </xf>
    <xf numFmtId="0" fontId="61" fillId="0" borderId="30" xfId="0" applyFont="1" applyBorder="1" applyAlignment="1">
      <alignment horizontal="left" vertical="center" wrapText="1"/>
    </xf>
    <xf numFmtId="172" fontId="61" fillId="0" borderId="30" xfId="0" applyNumberFormat="1" applyFont="1" applyBorder="1" applyAlignment="1">
      <alignment horizontal="center" vertical="center"/>
    </xf>
    <xf numFmtId="172" fontId="92" fillId="0" borderId="30" xfId="0" applyNumberFormat="1" applyFont="1" applyBorder="1"/>
    <xf numFmtId="0" fontId="61" fillId="0" borderId="30" xfId="0" applyFont="1" applyBorder="1" applyAlignment="1">
      <alignment horizontal="center" vertical="center"/>
    </xf>
    <xf numFmtId="0" fontId="67" fillId="0" borderId="30" xfId="0" applyFont="1" applyBorder="1" applyAlignment="1">
      <alignment horizontal="center" vertical="center"/>
    </xf>
    <xf numFmtId="0" fontId="68" fillId="10" borderId="30" xfId="0" applyFont="1" applyFill="1" applyBorder="1" applyAlignment="1">
      <alignment horizontal="center" vertical="center"/>
    </xf>
    <xf numFmtId="0" fontId="61" fillId="10" borderId="30" xfId="0" applyFont="1" applyFill="1" applyBorder="1" applyAlignment="1">
      <alignment horizontal="center" vertical="center" wrapText="1"/>
    </xf>
    <xf numFmtId="0" fontId="61" fillId="0" borderId="30" xfId="0" applyFont="1" applyBorder="1" applyAlignment="1">
      <alignment horizontal="center" vertical="center" wrapText="1"/>
    </xf>
    <xf numFmtId="0" fontId="61" fillId="6" borderId="30" xfId="0" applyFont="1" applyFill="1" applyBorder="1" applyAlignment="1">
      <alignment horizontal="center" vertical="center" wrapText="1"/>
    </xf>
    <xf numFmtId="0" fontId="64" fillId="6" borderId="30" xfId="0" applyFont="1" applyFill="1" applyBorder="1" applyAlignment="1">
      <alignment horizontal="center" vertical="center" wrapText="1"/>
    </xf>
    <xf numFmtId="0" fontId="92" fillId="0" borderId="31" xfId="0" applyFont="1" applyBorder="1"/>
    <xf numFmtId="172" fontId="92" fillId="0" borderId="31" xfId="0" applyNumberFormat="1" applyFont="1" applyBorder="1"/>
    <xf numFmtId="0" fontId="4" fillId="0" borderId="6" xfId="38" applyFont="1" applyBorder="1" applyAlignment="1">
      <alignment horizontal="center" vertical="center" wrapText="1"/>
    </xf>
    <xf numFmtId="0" fontId="4" fillId="0" borderId="6" xfId="43" applyFont="1" applyBorder="1" applyAlignment="1">
      <alignment horizontal="center" vertical="center" wrapText="1"/>
    </xf>
    <xf numFmtId="0" fontId="4" fillId="0" borderId="6" xfId="44" applyFont="1" applyBorder="1" applyAlignment="1">
      <alignment horizontal="center" vertical="center" wrapText="1"/>
    </xf>
    <xf numFmtId="0" fontId="31" fillId="0" borderId="30" xfId="0" applyFont="1" applyBorder="1" applyAlignment="1">
      <alignment vertical="center" wrapText="1"/>
    </xf>
    <xf numFmtId="0" fontId="31" fillId="0" borderId="30" xfId="0" applyFont="1" applyBorder="1" applyAlignment="1">
      <alignment vertical="center"/>
    </xf>
    <xf numFmtId="0" fontId="31" fillId="0" borderId="31" xfId="0" applyFont="1" applyBorder="1" applyAlignment="1">
      <alignment vertical="center"/>
    </xf>
    <xf numFmtId="0" fontId="36" fillId="0" borderId="30" xfId="0" applyFont="1" applyBorder="1" applyAlignment="1">
      <alignment horizontal="left" vertical="center" wrapText="1"/>
    </xf>
    <xf numFmtId="0" fontId="31" fillId="0" borderId="31" xfId="0" applyFont="1" applyBorder="1" applyAlignment="1">
      <alignment horizontal="left" vertical="center" wrapText="1"/>
    </xf>
    <xf numFmtId="0" fontId="25" fillId="0" borderId="31" xfId="0" applyFont="1" applyBorder="1" applyAlignment="1">
      <alignment vertical="center"/>
    </xf>
    <xf numFmtId="0" fontId="31" fillId="0" borderId="31" xfId="0" applyFont="1" applyBorder="1" applyAlignment="1">
      <alignment vertical="center" wrapText="1"/>
    </xf>
    <xf numFmtId="172" fontId="31" fillId="0" borderId="30" xfId="0" applyNumberFormat="1" applyFont="1" applyBorder="1" applyAlignment="1">
      <alignment horizontal="center" vertical="center"/>
    </xf>
    <xf numFmtId="172" fontId="31" fillId="0" borderId="30" xfId="0" applyNumberFormat="1" applyFont="1" applyBorder="1" applyAlignment="1">
      <alignment vertical="center"/>
    </xf>
    <xf numFmtId="172" fontId="31" fillId="0" borderId="31" xfId="0" applyNumberFormat="1" applyFont="1" applyBorder="1" applyAlignment="1">
      <alignment vertical="center"/>
    </xf>
    <xf numFmtId="0" fontId="31" fillId="0" borderId="30" xfId="0" applyFont="1" applyBorder="1" applyAlignment="1">
      <alignment horizontal="center" vertical="center" wrapText="1"/>
    </xf>
    <xf numFmtId="0" fontId="3" fillId="0" borderId="30" xfId="0" applyFont="1" applyBorder="1" applyAlignment="1">
      <alignment vertical="center"/>
    </xf>
    <xf numFmtId="0" fontId="12" fillId="0" borderId="30" xfId="0" applyFont="1" applyBorder="1" applyAlignment="1">
      <alignment vertical="center"/>
    </xf>
    <xf numFmtId="172" fontId="31" fillId="0" borderId="27" xfId="63" applyNumberFormat="1" applyFont="1" applyBorder="1" applyAlignment="1">
      <alignment horizontal="center" vertical="center" wrapText="1"/>
    </xf>
    <xf numFmtId="172" fontId="31" fillId="0" borderId="29" xfId="63" applyNumberFormat="1" applyFont="1" applyBorder="1" applyAlignment="1">
      <alignment horizontal="center" vertical="center" wrapText="1"/>
    </xf>
    <xf numFmtId="172" fontId="31" fillId="0" borderId="33" xfId="63" applyNumberFormat="1" applyFont="1" applyBorder="1" applyAlignment="1">
      <alignment horizontal="center" vertical="center" wrapText="1"/>
    </xf>
    <xf numFmtId="0" fontId="12" fillId="0" borderId="30" xfId="0" applyFont="1" applyBorder="1" applyAlignment="1">
      <alignment horizontal="left" vertical="center"/>
    </xf>
    <xf numFmtId="0" fontId="2" fillId="0" borderId="2" xfId="43" applyFont="1" applyBorder="1" applyAlignment="1">
      <alignment horizontal="center" vertical="center"/>
    </xf>
    <xf numFmtId="172" fontId="31" fillId="0" borderId="27" xfId="0" applyNumberFormat="1" applyFont="1" applyBorder="1" applyAlignment="1">
      <alignment horizontal="center" vertical="center"/>
    </xf>
    <xf numFmtId="172" fontId="31" fillId="0" borderId="33" xfId="0" applyNumberFormat="1" applyFont="1" applyBorder="1" applyAlignment="1">
      <alignment horizontal="center" vertical="center"/>
    </xf>
    <xf numFmtId="0" fontId="3" fillId="0" borderId="30" xfId="0" applyFont="1" applyBorder="1" applyAlignment="1">
      <alignment horizontal="left" vertical="center"/>
    </xf>
    <xf numFmtId="0" fontId="3" fillId="0" borderId="31" xfId="0" applyFont="1" applyBorder="1" applyAlignment="1">
      <alignment vertical="center"/>
    </xf>
    <xf numFmtId="172" fontId="31" fillId="0" borderId="32" xfId="63" applyNumberFormat="1" applyFont="1" applyBorder="1" applyAlignment="1">
      <alignment horizontal="center" vertical="center" wrapText="1"/>
    </xf>
    <xf numFmtId="14" fontId="31" fillId="0" borderId="27" xfId="0" applyNumberFormat="1" applyFont="1" applyBorder="1" applyAlignment="1">
      <alignment horizontal="center" vertical="center" wrapText="1"/>
    </xf>
    <xf numFmtId="14" fontId="31" fillId="0" borderId="33" xfId="0" applyNumberFormat="1" applyFont="1" applyBorder="1" applyAlignment="1">
      <alignment horizontal="center" vertical="center" wrapText="1"/>
    </xf>
    <xf numFmtId="14" fontId="31" fillId="0" borderId="29" xfId="0" applyNumberFormat="1" applyFont="1" applyBorder="1" applyAlignment="1">
      <alignment horizontal="center" vertical="center" wrapText="1"/>
    </xf>
    <xf numFmtId="0" fontId="31" fillId="6" borderId="30" xfId="0" applyFont="1" applyFill="1" applyBorder="1" applyAlignment="1">
      <alignment horizontal="center" vertical="center"/>
    </xf>
    <xf numFmtId="0" fontId="2" fillId="0" borderId="30" xfId="0" applyFont="1" applyBorder="1" applyAlignment="1">
      <alignment vertical="center"/>
    </xf>
    <xf numFmtId="0" fontId="2" fillId="0" borderId="31" xfId="0" applyFont="1" applyBorder="1" applyAlignment="1">
      <alignment vertical="center"/>
    </xf>
    <xf numFmtId="0" fontId="31" fillId="6" borderId="30" xfId="0" applyFont="1" applyFill="1" applyBorder="1" applyAlignment="1">
      <alignment horizontal="lef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31" fillId="6" borderId="30" xfId="0" applyFont="1" applyFill="1" applyBorder="1" applyAlignment="1">
      <alignment horizontal="center" vertical="center" wrapText="1"/>
    </xf>
    <xf numFmtId="0" fontId="31" fillId="6" borderId="30" xfId="0" applyFont="1" applyFill="1" applyBorder="1" applyAlignment="1">
      <alignment vertical="center" wrapText="1"/>
    </xf>
    <xf numFmtId="0" fontId="98" fillId="6" borderId="30" xfId="0" applyFont="1" applyFill="1" applyBorder="1" applyAlignment="1">
      <alignment horizontal="left" vertical="center"/>
    </xf>
    <xf numFmtId="0" fontId="98" fillId="6" borderId="30" xfId="0" applyFont="1" applyFill="1" applyBorder="1" applyAlignment="1">
      <alignment horizontal="left" vertical="center" wrapText="1"/>
    </xf>
    <xf numFmtId="1" fontId="98" fillId="6" borderId="30" xfId="0" applyNumberFormat="1" applyFont="1" applyFill="1" applyBorder="1" applyAlignment="1">
      <alignment horizontal="center" vertical="center"/>
    </xf>
    <xf numFmtId="0" fontId="48" fillId="0" borderId="22" xfId="0" applyFont="1" applyBorder="1" applyAlignment="1">
      <alignment horizontal="center" vertical="center" wrapText="1"/>
    </xf>
    <xf numFmtId="0" fontId="48" fillId="0" borderId="23" xfId="0" applyFont="1" applyBorder="1" applyAlignment="1">
      <alignment horizontal="center" vertical="center" wrapText="1"/>
    </xf>
    <xf numFmtId="0" fontId="46" fillId="0" borderId="11" xfId="0" applyFont="1" applyBorder="1" applyAlignment="1">
      <alignment horizontal="center" vertical="center" wrapText="1"/>
    </xf>
    <xf numFmtId="0" fontId="47" fillId="0" borderId="11" xfId="0" applyFont="1" applyBorder="1" applyAlignment="1">
      <alignment vertical="center"/>
    </xf>
    <xf numFmtId="0" fontId="31" fillId="4" borderId="30"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31" fillId="4" borderId="30" xfId="0" applyFont="1" applyFill="1" applyBorder="1" applyAlignment="1">
      <alignment horizontal="center" vertical="center"/>
    </xf>
    <xf numFmtId="0" fontId="31" fillId="4" borderId="31" xfId="0" applyFont="1" applyFill="1" applyBorder="1" applyAlignment="1">
      <alignment horizontal="center" vertical="center"/>
    </xf>
    <xf numFmtId="0" fontId="31" fillId="4" borderId="30" xfId="0" applyFont="1" applyFill="1" applyBorder="1" applyAlignment="1">
      <alignment vertical="center" wrapText="1"/>
    </xf>
    <xf numFmtId="0" fontId="31" fillId="4" borderId="31" xfId="0" applyFont="1" applyFill="1" applyBorder="1" applyAlignment="1">
      <alignment vertical="center" wrapText="1"/>
    </xf>
    <xf numFmtId="172" fontId="25" fillId="4" borderId="30" xfId="69" applyNumberFormat="1" applyFont="1" applyFill="1" applyBorder="1" applyAlignment="1" applyProtection="1">
      <alignment horizontal="center" vertical="center"/>
    </xf>
    <xf numFmtId="172" fontId="25" fillId="4" borderId="31" xfId="69" applyNumberFormat="1" applyFont="1" applyFill="1" applyBorder="1" applyAlignment="1" applyProtection="1">
      <alignment horizontal="center" vertical="center"/>
    </xf>
    <xf numFmtId="1" fontId="31" fillId="4" borderId="30" xfId="0" applyNumberFormat="1" applyFont="1" applyFill="1" applyBorder="1" applyAlignment="1">
      <alignment horizontal="center" vertical="center" wrapText="1"/>
    </xf>
    <xf numFmtId="172" fontId="25" fillId="4" borderId="30" xfId="69" applyNumberFormat="1" applyFont="1" applyFill="1" applyBorder="1" applyAlignment="1" applyProtection="1">
      <alignment horizontal="center" vertical="center" wrapText="1"/>
    </xf>
    <xf numFmtId="0" fontId="31" fillId="4" borderId="30" xfId="0" applyFont="1" applyFill="1" applyBorder="1" applyAlignment="1">
      <alignment horizontal="left" vertical="center" wrapText="1"/>
    </xf>
    <xf numFmtId="9" fontId="31" fillId="4" borderId="30" xfId="0" applyNumberFormat="1" applyFont="1" applyFill="1" applyBorder="1" applyAlignment="1">
      <alignment horizontal="center" vertical="center" wrapText="1"/>
    </xf>
    <xf numFmtId="0" fontId="39" fillId="4" borderId="30" xfId="0" applyFont="1" applyFill="1" applyBorder="1" applyAlignment="1">
      <alignment horizontal="center" vertical="center"/>
    </xf>
    <xf numFmtId="9" fontId="25" fillId="4" borderId="30" xfId="69" applyFont="1" applyFill="1" applyBorder="1" applyAlignment="1" applyProtection="1">
      <alignment horizontal="center" vertical="center"/>
    </xf>
    <xf numFmtId="0" fontId="71" fillId="4" borderId="30" xfId="0" applyFont="1" applyFill="1" applyBorder="1" applyAlignment="1">
      <alignment horizontal="center" vertical="center"/>
    </xf>
    <xf numFmtId="0" fontId="36" fillId="4" borderId="30" xfId="0" applyFont="1" applyFill="1" applyBorder="1" applyAlignment="1">
      <alignment vertical="center" wrapText="1"/>
    </xf>
    <xf numFmtId="176" fontId="31" fillId="4" borderId="30" xfId="0" applyNumberFormat="1" applyFont="1" applyFill="1" applyBorder="1" applyAlignment="1">
      <alignment horizontal="left" vertical="center" wrapText="1"/>
    </xf>
    <xf numFmtId="3" fontId="31" fillId="4" borderId="30" xfId="0" applyNumberFormat="1" applyFont="1" applyFill="1" applyBorder="1" applyAlignment="1">
      <alignment horizontal="center" vertical="center" wrapText="1"/>
    </xf>
    <xf numFmtId="1" fontId="31" fillId="4" borderId="30" xfId="0" applyNumberFormat="1" applyFont="1" applyFill="1" applyBorder="1" applyAlignment="1">
      <alignment vertical="center" wrapText="1"/>
    </xf>
    <xf numFmtId="172" fontId="31" fillId="4" borderId="30" xfId="69" applyNumberFormat="1" applyFont="1" applyFill="1" applyBorder="1" applyAlignment="1" applyProtection="1">
      <alignment horizontal="center" vertical="center" wrapText="1"/>
    </xf>
    <xf numFmtId="0" fontId="4" fillId="0" borderId="1" xfId="44" applyFont="1" applyBorder="1" applyAlignment="1" applyProtection="1">
      <alignment horizontal="center" vertical="center" wrapText="1"/>
      <protection hidden="1"/>
    </xf>
    <xf numFmtId="0" fontId="4" fillId="0" borderId="1" xfId="43" applyFont="1" applyBorder="1" applyAlignment="1" applyProtection="1">
      <alignment horizontal="center" vertical="center" wrapText="1"/>
      <protection hidden="1"/>
    </xf>
    <xf numFmtId="0" fontId="4" fillId="0" borderId="1" xfId="39" applyFont="1" applyBorder="1" applyAlignment="1" applyProtection="1">
      <alignment horizontal="center" vertical="center" wrapText="1"/>
      <protection hidden="1"/>
    </xf>
    <xf numFmtId="0" fontId="4" fillId="0" borderId="7" xfId="39" applyFont="1" applyBorder="1" applyAlignment="1" applyProtection="1">
      <alignment horizontal="center" vertical="center" wrapText="1"/>
      <protection hidden="1"/>
    </xf>
    <xf numFmtId="0" fontId="25" fillId="0" borderId="53" xfId="0" applyFont="1" applyBorder="1" applyAlignment="1">
      <alignment horizontal="center" vertical="center" wrapText="1"/>
    </xf>
    <xf numFmtId="0" fontId="25" fillId="0" borderId="53" xfId="0" applyFont="1" applyBorder="1" applyAlignment="1">
      <alignment horizontal="center" vertical="center"/>
    </xf>
    <xf numFmtId="0" fontId="25" fillId="0" borderId="54" xfId="0" applyFont="1" applyBorder="1" applyAlignment="1">
      <alignment horizontal="center" vertical="center"/>
    </xf>
    <xf numFmtId="0" fontId="25" fillId="0" borderId="53" xfId="0" applyFont="1" applyBorder="1" applyAlignment="1">
      <alignment horizontal="left" vertical="center" wrapText="1"/>
    </xf>
    <xf numFmtId="0" fontId="25" fillId="0" borderId="53" xfId="0" applyFont="1" applyBorder="1" applyAlignment="1">
      <alignment horizontal="left" vertical="center"/>
    </xf>
    <xf numFmtId="0" fontId="25" fillId="0" borderId="54" xfId="0" applyFont="1" applyBorder="1" applyAlignment="1">
      <alignment horizontal="left" vertical="center"/>
    </xf>
    <xf numFmtId="172" fontId="25" fillId="0" borderId="53" xfId="0" applyNumberFormat="1" applyFont="1" applyBorder="1" applyAlignment="1">
      <alignment horizontal="center" vertical="center" wrapText="1"/>
    </xf>
    <xf numFmtId="0" fontId="25" fillId="0" borderId="53" xfId="0" applyFont="1" applyBorder="1" applyAlignment="1">
      <alignment vertical="center"/>
    </xf>
    <xf numFmtId="0" fontId="25" fillId="0" borderId="54" xfId="0" applyFont="1" applyBorder="1" applyAlignment="1">
      <alignment vertical="center"/>
    </xf>
    <xf numFmtId="0" fontId="25" fillId="4" borderId="53" xfId="0" applyFont="1" applyFill="1" applyBorder="1" applyAlignment="1">
      <alignment horizontal="center" vertical="center" wrapText="1"/>
    </xf>
    <xf numFmtId="0" fontId="25" fillId="4" borderId="53" xfId="0" applyFont="1" applyFill="1" applyBorder="1" applyAlignment="1">
      <alignment horizontal="left" vertical="center" wrapText="1"/>
    </xf>
    <xf numFmtId="172" fontId="25" fillId="0" borderId="53" xfId="79" applyNumberFormat="1" applyFont="1" applyFill="1" applyBorder="1" applyAlignment="1">
      <alignment horizontal="center" vertical="center"/>
    </xf>
    <xf numFmtId="1" fontId="25" fillId="0" borderId="53" xfId="0" applyNumberFormat="1" applyFont="1" applyBorder="1" applyAlignment="1">
      <alignment horizontal="center" vertical="center" wrapText="1"/>
    </xf>
    <xf numFmtId="172" fontId="25" fillId="0" borderId="53" xfId="65" applyNumberFormat="1" applyFont="1" applyFill="1" applyBorder="1" applyAlignment="1">
      <alignment horizontal="center" vertical="center"/>
    </xf>
    <xf numFmtId="0" fontId="8" fillId="0" borderId="53" xfId="0" applyFont="1" applyBorder="1" applyAlignment="1">
      <alignment horizontal="center" vertical="center" wrapText="1"/>
    </xf>
    <xf numFmtId="3" fontId="25" fillId="0" borderId="53" xfId="0" applyNumberFormat="1" applyFont="1" applyBorder="1" applyAlignment="1">
      <alignment horizontal="center" vertical="center" wrapText="1"/>
    </xf>
    <xf numFmtId="0" fontId="11" fillId="0" borderId="53" xfId="0" applyFont="1" applyBorder="1" applyAlignment="1">
      <alignment horizontal="center" vertical="center" wrapText="1"/>
    </xf>
    <xf numFmtId="0" fontId="11" fillId="0" borderId="53" xfId="0" applyFont="1" applyBorder="1" applyAlignment="1">
      <alignment horizontal="center" vertical="center"/>
    </xf>
    <xf numFmtId="0" fontId="11" fillId="0" borderId="53" xfId="0" applyFont="1" applyBorder="1" applyAlignment="1">
      <alignment horizontal="left" vertical="center" wrapText="1"/>
    </xf>
    <xf numFmtId="172" fontId="11" fillId="0" borderId="53" xfId="0" applyNumberFormat="1" applyFont="1" applyBorder="1" applyAlignment="1">
      <alignment horizontal="center" vertical="center" wrapText="1"/>
    </xf>
    <xf numFmtId="0" fontId="4" fillId="0" borderId="1" xfId="45" applyFont="1" applyBorder="1" applyAlignment="1">
      <alignment horizontal="center" vertical="center" wrapText="1"/>
    </xf>
    <xf numFmtId="0" fontId="4" fillId="0" borderId="6" xfId="45" applyFont="1" applyBorder="1" applyAlignment="1">
      <alignment horizontal="center" vertical="center" wrapText="1"/>
    </xf>
    <xf numFmtId="0" fontId="4" fillId="0" borderId="6" xfId="49" applyFont="1" applyBorder="1" applyAlignment="1">
      <alignment horizontal="center" vertical="center" wrapText="1"/>
    </xf>
    <xf numFmtId="0" fontId="4" fillId="0" borderId="0" xfId="49" applyFont="1" applyAlignment="1">
      <alignment horizontal="center" vertical="center" wrapText="1"/>
    </xf>
    <xf numFmtId="0" fontId="5" fillId="0" borderId="20" xfId="44" applyFont="1" applyBorder="1" applyAlignment="1">
      <alignment horizontal="center" vertical="center" wrapText="1"/>
    </xf>
    <xf numFmtId="0" fontId="5" fillId="0" borderId="1" xfId="44" applyFont="1" applyBorder="1" applyAlignment="1">
      <alignment horizontal="center" vertical="center" wrapText="1"/>
    </xf>
    <xf numFmtId="0" fontId="4" fillId="0" borderId="0" xfId="38" applyFont="1" applyAlignment="1">
      <alignment horizontal="center" vertical="center" wrapText="1"/>
    </xf>
    <xf numFmtId="0" fontId="4" fillId="0" borderId="0" xfId="44" applyFont="1" applyAlignment="1">
      <alignment horizontal="center" vertical="center" wrapText="1"/>
    </xf>
    <xf numFmtId="1" fontId="31" fillId="0" borderId="10" xfId="0" applyNumberFormat="1" applyFont="1" applyBorder="1" applyAlignment="1">
      <alignment horizontal="center" vertical="center" wrapText="1"/>
    </xf>
    <xf numFmtId="172" fontId="31" fillId="0" borderId="10" xfId="63" applyNumberFormat="1" applyFont="1" applyBorder="1" applyAlignment="1">
      <alignment horizontal="center" vertical="center" wrapText="1"/>
    </xf>
    <xf numFmtId="0" fontId="101" fillId="0" borderId="10" xfId="0" applyFont="1" applyBorder="1" applyAlignment="1">
      <alignment horizontal="center"/>
    </xf>
    <xf numFmtId="0" fontId="31" fillId="0" borderId="19" xfId="0" applyFont="1" applyBorder="1" applyAlignment="1">
      <alignment horizontal="center" vertical="center"/>
    </xf>
    <xf numFmtId="0" fontId="31" fillId="0" borderId="19" xfId="0" applyFont="1" applyBorder="1" applyAlignment="1">
      <alignment vertical="center" wrapText="1"/>
    </xf>
    <xf numFmtId="172" fontId="31" fillId="0" borderId="10" xfId="63" applyNumberFormat="1" applyFont="1" applyBorder="1" applyAlignment="1">
      <alignment horizontal="center" vertical="center"/>
    </xf>
    <xf numFmtId="172" fontId="31" fillId="0" borderId="19" xfId="63" applyNumberFormat="1" applyFont="1" applyBorder="1" applyAlignment="1">
      <alignment horizontal="center" vertical="center"/>
    </xf>
    <xf numFmtId="0" fontId="31" fillId="0" borderId="19" xfId="0" applyFont="1" applyBorder="1" applyAlignment="1">
      <alignment horizontal="center" vertical="center" wrapText="1"/>
    </xf>
    <xf numFmtId="0" fontId="25" fillId="0" borderId="30" xfId="44" applyFont="1" applyBorder="1" applyAlignment="1">
      <alignment horizontal="justify" vertical="center" wrapText="1"/>
    </xf>
    <xf numFmtId="3" fontId="25" fillId="0" borderId="30" xfId="44" applyNumberFormat="1" applyFont="1" applyBorder="1" applyAlignment="1">
      <alignment horizontal="center" vertical="center"/>
    </xf>
    <xf numFmtId="172" fontId="25" fillId="0" borderId="30" xfId="63" applyNumberFormat="1" applyFont="1" applyFill="1" applyBorder="1" applyAlignment="1">
      <alignment horizontal="center" vertical="center"/>
    </xf>
    <xf numFmtId="172" fontId="25" fillId="0" borderId="31" xfId="63" applyNumberFormat="1" applyFont="1" applyFill="1" applyBorder="1" applyAlignment="1">
      <alignment horizontal="center" vertical="center"/>
    </xf>
    <xf numFmtId="0" fontId="25" fillId="0" borderId="31" xfId="44" applyFont="1" applyBorder="1" applyAlignment="1">
      <alignment horizontal="justify" vertical="center" wrapText="1"/>
    </xf>
    <xf numFmtId="3" fontId="25" fillId="0" borderId="31" xfId="44" applyNumberFormat="1" applyFont="1" applyBorder="1" applyAlignment="1">
      <alignment horizontal="center" vertical="center"/>
    </xf>
    <xf numFmtId="0" fontId="8" fillId="0" borderId="30" xfId="44" applyFont="1" applyBorder="1" applyAlignment="1">
      <alignment horizontal="center" vertical="center"/>
    </xf>
    <xf numFmtId="0" fontId="25" fillId="0" borderId="30" xfId="75" applyFont="1" applyBorder="1" applyAlignment="1">
      <alignment horizontal="center" vertical="center" wrapText="1"/>
    </xf>
    <xf numFmtId="0" fontId="25" fillId="0" borderId="30" xfId="40" applyFont="1" applyBorder="1" applyAlignment="1">
      <alignment horizontal="center" vertical="center" wrapText="1"/>
    </xf>
    <xf numFmtId="0" fontId="25" fillId="0" borderId="30" xfId="0" applyFont="1" applyBorder="1" applyAlignment="1">
      <alignment horizontal="center" vertical="center" wrapText="1"/>
    </xf>
    <xf numFmtId="0" fontId="4" fillId="0" borderId="2" xfId="49" applyFont="1" applyBorder="1" applyAlignment="1">
      <alignment horizontal="center" vertical="center" wrapText="1"/>
    </xf>
    <xf numFmtId="1" fontId="4" fillId="0" borderId="1" xfId="44" applyNumberFormat="1" applyFont="1" applyBorder="1" applyAlignment="1">
      <alignment horizontal="center" vertical="center" wrapText="1"/>
    </xf>
    <xf numFmtId="9" fontId="4" fillId="0" borderId="6" xfId="40" applyNumberFormat="1" applyFont="1" applyBorder="1" applyAlignment="1">
      <alignment horizontal="center" vertical="center" wrapText="1"/>
    </xf>
    <xf numFmtId="9" fontId="4" fillId="0" borderId="2" xfId="40" applyNumberFormat="1" applyFont="1" applyBorder="1" applyAlignment="1">
      <alignment horizontal="center" vertical="center" wrapText="1"/>
    </xf>
    <xf numFmtId="0" fontId="4" fillId="0" borderId="16" xfId="49" applyFont="1" applyBorder="1" applyAlignment="1">
      <alignment horizontal="center" vertical="center" wrapText="1"/>
    </xf>
    <xf numFmtId="0" fontId="4" fillId="0" borderId="17" xfId="49" applyFont="1" applyBorder="1" applyAlignment="1">
      <alignment horizontal="center" vertical="center" wrapText="1"/>
    </xf>
    <xf numFmtId="0" fontId="4" fillId="0" borderId="8" xfId="40" applyFont="1" applyBorder="1" applyAlignment="1">
      <alignment horizontal="center" vertical="center" wrapText="1"/>
    </xf>
    <xf numFmtId="0" fontId="4" fillId="0" borderId="1" xfId="44" applyFont="1" applyBorder="1" applyAlignment="1">
      <alignment horizontal="justify" vertical="center" wrapText="1"/>
    </xf>
    <xf numFmtId="3" fontId="4" fillId="0" borderId="6" xfId="40" applyNumberFormat="1" applyFont="1" applyBorder="1" applyAlignment="1">
      <alignment horizontal="center" vertical="center" wrapText="1"/>
    </xf>
    <xf numFmtId="3" fontId="4" fillId="0" borderId="2" xfId="40" applyNumberFormat="1" applyFont="1" applyBorder="1" applyAlignment="1">
      <alignment horizontal="center" vertical="center" wrapText="1"/>
    </xf>
    <xf numFmtId="9" fontId="4" fillId="0" borderId="6" xfId="44" applyNumberFormat="1" applyFont="1" applyBorder="1" applyAlignment="1">
      <alignment horizontal="center" vertical="center" wrapText="1"/>
    </xf>
    <xf numFmtId="9" fontId="4" fillId="0" borderId="2" xfId="44" applyNumberFormat="1" applyFont="1" applyBorder="1" applyAlignment="1">
      <alignment horizontal="center" vertical="center" wrapText="1"/>
    </xf>
    <xf numFmtId="1" fontId="4" fillId="0" borderId="6" xfId="40" applyNumberFormat="1" applyFont="1" applyBorder="1" applyAlignment="1">
      <alignment horizontal="center" vertical="center" wrapText="1"/>
    </xf>
    <xf numFmtId="1" fontId="4" fillId="0" borderId="2" xfId="40" applyNumberFormat="1" applyFont="1" applyBorder="1" applyAlignment="1">
      <alignment horizontal="center" vertical="center" wrapText="1"/>
    </xf>
    <xf numFmtId="9" fontId="4" fillId="0" borderId="6" xfId="79" applyFont="1" applyFill="1" applyBorder="1" applyAlignment="1">
      <alignment horizontal="center" vertical="center" wrapText="1"/>
    </xf>
    <xf numFmtId="0" fontId="4" fillId="0" borderId="6" xfId="40" applyFont="1" applyBorder="1" applyAlignment="1">
      <alignment horizontal="center" vertical="center" wrapText="1"/>
    </xf>
    <xf numFmtId="0" fontId="4" fillId="0" borderId="2" xfId="40" applyFont="1" applyBorder="1" applyAlignment="1">
      <alignment horizontal="center" vertical="center" wrapText="1"/>
    </xf>
    <xf numFmtId="3" fontId="4" fillId="0" borderId="6" xfId="49" applyNumberFormat="1" applyFont="1" applyBorder="1" applyAlignment="1">
      <alignment horizontal="center" vertical="center" wrapText="1"/>
    </xf>
    <xf numFmtId="3" fontId="4" fillId="0" borderId="2" xfId="49" applyNumberFormat="1" applyFont="1" applyBorder="1" applyAlignment="1">
      <alignment horizontal="center" vertical="center" wrapText="1"/>
    </xf>
    <xf numFmtId="172" fontId="25" fillId="0" borderId="56" xfId="69" applyNumberFormat="1" applyFont="1" applyFill="1" applyBorder="1" applyAlignment="1">
      <alignment horizontal="center" vertical="center" wrapText="1"/>
    </xf>
    <xf numFmtId="0" fontId="25" fillId="0" borderId="30" xfId="45" applyFont="1" applyBorder="1" applyAlignment="1">
      <alignment horizontal="center" vertical="center" wrapText="1"/>
    </xf>
    <xf numFmtId="0" fontId="25" fillId="0" borderId="30" xfId="45" applyFont="1" applyBorder="1" applyAlignment="1">
      <alignment vertical="center" wrapText="1"/>
    </xf>
    <xf numFmtId="0" fontId="25" fillId="0" borderId="31" xfId="45" applyFont="1" applyBorder="1" applyAlignment="1">
      <alignment horizontal="center" vertical="center" wrapText="1"/>
    </xf>
    <xf numFmtId="0" fontId="25" fillId="0" borderId="31" xfId="45" applyFont="1" applyBorder="1" applyAlignment="1">
      <alignment vertical="center" wrapText="1"/>
    </xf>
    <xf numFmtId="0" fontId="25" fillId="0" borderId="30" xfId="38" applyFont="1" applyBorder="1" applyAlignment="1">
      <alignment vertical="center" wrapText="1"/>
    </xf>
    <xf numFmtId="0" fontId="8" fillId="0" borderId="30" xfId="45" applyFont="1" applyBorder="1" applyAlignment="1">
      <alignment horizontal="center" vertical="center" wrapText="1"/>
    </xf>
    <xf numFmtId="172" fontId="4" fillId="0" borderId="20" xfId="39" applyNumberFormat="1" applyFont="1" applyBorder="1" applyAlignment="1">
      <alignment horizontal="center" vertical="center" wrapText="1"/>
    </xf>
    <xf numFmtId="172" fontId="4" fillId="0" borderId="28" xfId="39" applyNumberFormat="1" applyFont="1" applyBorder="1" applyAlignment="1">
      <alignment horizontal="center" vertical="center" wrapText="1"/>
    </xf>
    <xf numFmtId="3" fontId="4" fillId="0" borderId="20" xfId="39" applyNumberFormat="1" applyFont="1" applyBorder="1" applyAlignment="1">
      <alignment horizontal="center" vertical="center" wrapText="1"/>
    </xf>
    <xf numFmtId="3" fontId="4" fillId="0" borderId="28" xfId="39" applyNumberFormat="1" applyFont="1" applyBorder="1" applyAlignment="1">
      <alignment horizontal="center" vertical="center" wrapText="1"/>
    </xf>
    <xf numFmtId="2" fontId="4" fillId="0" borderId="20" xfId="44" applyNumberFormat="1" applyFont="1" applyBorder="1" applyAlignment="1">
      <alignment horizontal="center" vertical="center" wrapText="1"/>
    </xf>
    <xf numFmtId="2" fontId="4" fillId="0" borderId="28" xfId="44" applyNumberFormat="1" applyFont="1" applyBorder="1" applyAlignment="1">
      <alignment horizontal="center" vertical="center" wrapText="1"/>
    </xf>
    <xf numFmtId="4" fontId="4" fillId="0" borderId="20" xfId="44" applyNumberFormat="1" applyFont="1" applyBorder="1" applyAlignment="1">
      <alignment horizontal="center" vertical="center" wrapText="1"/>
    </xf>
    <xf numFmtId="4" fontId="4" fillId="0" borderId="28" xfId="44" applyNumberFormat="1" applyFont="1" applyBorder="1" applyAlignment="1">
      <alignment horizontal="center" vertical="center" wrapText="1"/>
    </xf>
    <xf numFmtId="172" fontId="31" fillId="4" borderId="30" xfId="0" applyNumberFormat="1" applyFont="1" applyFill="1" applyBorder="1" applyAlignment="1">
      <alignment vertical="center" wrapText="1"/>
    </xf>
    <xf numFmtId="14" fontId="6" fillId="0" borderId="20" xfId="39" applyNumberFormat="1" applyFont="1" applyBorder="1" applyAlignment="1">
      <alignment horizontal="center" vertical="center" wrapText="1"/>
    </xf>
    <xf numFmtId="0" fontId="6" fillId="0" borderId="20" xfId="39" applyFont="1" applyBorder="1" applyAlignment="1">
      <alignment horizontal="center" vertical="center" wrapText="1"/>
    </xf>
    <xf numFmtId="0" fontId="4" fillId="0" borderId="20" xfId="44" applyFont="1" applyBorder="1" applyAlignment="1">
      <alignment horizontal="left" vertical="center" wrapText="1"/>
    </xf>
    <xf numFmtId="0" fontId="4" fillId="0" borderId="28" xfId="44" applyFont="1" applyBorder="1" applyAlignment="1">
      <alignment horizontal="left" vertical="center" wrapText="1"/>
    </xf>
    <xf numFmtId="2" fontId="4" fillId="0" borderId="20" xfId="39" applyNumberFormat="1" applyFont="1" applyBorder="1" applyAlignment="1">
      <alignment horizontal="center" vertical="center" wrapText="1"/>
    </xf>
    <xf numFmtId="2" fontId="4" fillId="0" borderId="28" xfId="39" applyNumberFormat="1" applyFont="1" applyBorder="1" applyAlignment="1">
      <alignment horizontal="center" vertical="center" wrapText="1"/>
    </xf>
    <xf numFmtId="3" fontId="4" fillId="0" borderId="20" xfId="44" applyNumberFormat="1" applyFont="1" applyBorder="1" applyAlignment="1">
      <alignment horizontal="center" vertical="center" wrapText="1"/>
    </xf>
    <xf numFmtId="3" fontId="4" fillId="0" borderId="28" xfId="44" applyNumberFormat="1" applyFont="1" applyBorder="1" applyAlignment="1">
      <alignment horizontal="center" vertical="center" wrapText="1"/>
    </xf>
    <xf numFmtId="0" fontId="4" fillId="0" borderId="20" xfId="39" applyFont="1" applyBorder="1" applyAlignment="1">
      <alignment horizontal="left" vertical="center" wrapText="1"/>
    </xf>
    <xf numFmtId="0" fontId="4" fillId="0" borderId="28" xfId="39" applyFont="1" applyBorder="1" applyAlignment="1">
      <alignment horizontal="left" vertical="center" wrapText="1"/>
    </xf>
    <xf numFmtId="0" fontId="6" fillId="0" borderId="20" xfId="44" applyFont="1" applyBorder="1" applyAlignment="1">
      <alignment horizontal="center" vertical="center" wrapText="1"/>
    </xf>
    <xf numFmtId="172" fontId="4" fillId="0" borderId="20" xfId="44" applyNumberFormat="1" applyFont="1" applyBorder="1" applyAlignment="1">
      <alignment horizontal="center" vertical="center" wrapText="1"/>
    </xf>
    <xf numFmtId="172" fontId="4" fillId="0" borderId="28" xfId="44" applyNumberFormat="1" applyFont="1" applyBorder="1" applyAlignment="1">
      <alignment horizontal="center" vertical="center" wrapText="1"/>
    </xf>
    <xf numFmtId="0" fontId="40" fillId="0" borderId="19" xfId="0" applyFont="1" applyBorder="1"/>
    <xf numFmtId="0" fontId="31" fillId="0" borderId="10" xfId="0" applyFont="1" applyBorder="1" applyAlignment="1">
      <alignment horizontal="left" vertical="center" wrapText="1"/>
    </xf>
    <xf numFmtId="0" fontId="40" fillId="0" borderId="19" xfId="0" applyFont="1" applyBorder="1" applyAlignment="1">
      <alignment horizontal="left"/>
    </xf>
    <xf numFmtId="172" fontId="40" fillId="0" borderId="19" xfId="0" applyNumberFormat="1" applyFont="1" applyBorder="1"/>
    <xf numFmtId="0" fontId="40" fillId="0" borderId="10" xfId="0" applyFont="1" applyBorder="1"/>
    <xf numFmtId="0" fontId="40" fillId="0" borderId="10" xfId="0" applyFont="1" applyBorder="1" applyAlignment="1">
      <alignment horizontal="left"/>
    </xf>
    <xf numFmtId="172" fontId="40" fillId="0" borderId="10" xfId="0" applyNumberFormat="1" applyFont="1" applyBorder="1"/>
    <xf numFmtId="0" fontId="40" fillId="0" borderId="10" xfId="0" applyFont="1" applyBorder="1" applyAlignment="1">
      <alignment wrapText="1"/>
    </xf>
    <xf numFmtId="0" fontId="25" fillId="0" borderId="10" xfId="0" applyFont="1" applyBorder="1" applyAlignment="1">
      <alignment horizontal="left" vertical="center" wrapText="1"/>
    </xf>
    <xf numFmtId="0" fontId="6" fillId="2" borderId="5" xfId="44" applyFont="1" applyFill="1" applyBorder="1" applyAlignment="1">
      <alignment horizontal="center" vertical="center" wrapText="1"/>
    </xf>
    <xf numFmtId="0" fontId="6" fillId="2" borderId="3" xfId="44" applyFont="1" applyFill="1" applyBorder="1" applyAlignment="1">
      <alignment horizontal="center" vertical="center" wrapText="1"/>
    </xf>
    <xf numFmtId="0" fontId="6" fillId="2" borderId="4" xfId="44" applyFont="1" applyFill="1" applyBorder="1" applyAlignment="1">
      <alignment horizontal="center" vertical="center" wrapText="1"/>
    </xf>
    <xf numFmtId="172" fontId="25" fillId="0" borderId="30" xfId="69" applyNumberFormat="1" applyFont="1" applyFill="1" applyBorder="1" applyAlignment="1">
      <alignment horizontal="center" vertical="center" wrapText="1"/>
    </xf>
    <xf numFmtId="172" fontId="25" fillId="0" borderId="31" xfId="69" applyNumberFormat="1" applyFont="1" applyFill="1" applyBorder="1" applyAlignment="1">
      <alignment horizontal="center" vertical="center" wrapText="1"/>
    </xf>
    <xf numFmtId="0" fontId="25" fillId="0" borderId="31" xfId="49" applyFont="1" applyBorder="1" applyAlignment="1">
      <alignment horizontal="center" vertical="center" wrapText="1"/>
    </xf>
    <xf numFmtId="0" fontId="25" fillId="0" borderId="30" xfId="0" applyFont="1" applyBorder="1" applyAlignment="1">
      <alignment horizontal="left" vertical="center" wrapText="1"/>
    </xf>
    <xf numFmtId="172" fontId="25" fillId="0" borderId="30" xfId="68" applyNumberFormat="1" applyFont="1" applyFill="1" applyBorder="1" applyAlignment="1">
      <alignment horizontal="center" vertical="center" wrapText="1"/>
    </xf>
    <xf numFmtId="0" fontId="31" fillId="0" borderId="30" xfId="44" applyFont="1" applyBorder="1" applyAlignment="1">
      <alignment horizontal="center" vertical="center" wrapText="1"/>
    </xf>
    <xf numFmtId="0" fontId="11" fillId="0" borderId="30" xfId="89" applyFont="1" applyBorder="1" applyAlignment="1">
      <alignment horizontal="center" vertical="center" wrapText="1"/>
    </xf>
    <xf numFmtId="3" fontId="25" fillId="0" borderId="30" xfId="44" applyNumberFormat="1" applyFont="1" applyBorder="1" applyAlignment="1">
      <alignment horizontal="center" vertical="center" wrapText="1"/>
    </xf>
    <xf numFmtId="3" fontId="25" fillId="0" borderId="30" xfId="48" applyNumberFormat="1" applyFont="1" applyBorder="1" applyAlignment="1">
      <alignment horizontal="center" vertical="center" wrapText="1"/>
    </xf>
    <xf numFmtId="0" fontId="31" fillId="0" borderId="30" xfId="44" applyFont="1" applyBorder="1" applyAlignment="1">
      <alignment horizontal="left" vertical="center" wrapText="1"/>
    </xf>
    <xf numFmtId="0" fontId="103" fillId="0" borderId="30" xfId="44" applyFont="1" applyBorder="1" applyAlignment="1">
      <alignment horizontal="center" vertical="center" wrapText="1"/>
    </xf>
    <xf numFmtId="0" fontId="8" fillId="0" borderId="30" xfId="49" applyFont="1" applyBorder="1" applyAlignment="1">
      <alignment horizontal="center" vertical="center" wrapText="1"/>
    </xf>
    <xf numFmtId="0" fontId="8" fillId="0" borderId="0" xfId="0" applyFont="1" applyAlignment="1">
      <alignment horizontal="left" vertical="center" wrapText="1"/>
    </xf>
    <xf numFmtId="0" fontId="31" fillId="0" borderId="31" xfId="0" applyFont="1" applyBorder="1" applyAlignment="1">
      <alignment horizontal="center" vertical="center" wrapText="1"/>
    </xf>
    <xf numFmtId="1" fontId="31" fillId="0" borderId="30" xfId="0" applyNumberFormat="1" applyFont="1" applyBorder="1" applyAlignment="1">
      <alignment horizontal="center" vertical="center" wrapText="1"/>
    </xf>
    <xf numFmtId="1" fontId="31" fillId="0" borderId="31" xfId="0" applyNumberFormat="1" applyFont="1" applyBorder="1" applyAlignment="1">
      <alignment horizontal="center" vertical="center" wrapText="1"/>
    </xf>
    <xf numFmtId="172" fontId="31" fillId="0" borderId="30" xfId="63" applyNumberFormat="1" applyFont="1" applyFill="1" applyBorder="1" applyAlignment="1">
      <alignment horizontal="center" vertical="center" wrapText="1"/>
    </xf>
    <xf numFmtId="172" fontId="31" fillId="0" borderId="31" xfId="63" applyNumberFormat="1" applyFont="1" applyFill="1" applyBorder="1" applyAlignment="1">
      <alignment horizontal="center" vertical="center" wrapText="1"/>
    </xf>
    <xf numFmtId="3" fontId="31" fillId="0" borderId="30" xfId="0" applyNumberFormat="1" applyFont="1" applyBorder="1" applyAlignment="1">
      <alignment horizontal="center" vertical="center" wrapText="1"/>
    </xf>
    <xf numFmtId="0" fontId="44" fillId="0" borderId="12" xfId="0" applyFont="1" applyBorder="1" applyAlignment="1">
      <alignment horizontal="center" vertical="center" wrapText="1"/>
    </xf>
    <xf numFmtId="0" fontId="2" fillId="0" borderId="0" xfId="0" applyFont="1"/>
    <xf numFmtId="0" fontId="5" fillId="0" borderId="21" xfId="44" applyFont="1" applyBorder="1" applyAlignment="1">
      <alignment horizontal="center" vertical="center" wrapText="1"/>
    </xf>
    <xf numFmtId="0" fontId="4" fillId="0" borderId="0" xfId="39" applyFont="1" applyAlignment="1">
      <alignment horizontal="center" vertical="center" wrapText="1"/>
    </xf>
    <xf numFmtId="172" fontId="4" fillId="0" borderId="21" xfId="38" applyNumberFormat="1" applyFont="1" applyBorder="1" applyAlignment="1">
      <alignment horizontal="center" vertical="center" wrapText="1"/>
    </xf>
    <xf numFmtId="172" fontId="4" fillId="0" borderId="0" xfId="38" applyNumberFormat="1" applyFont="1" applyAlignment="1">
      <alignment horizontal="center" vertical="center" wrapText="1"/>
    </xf>
    <xf numFmtId="0" fontId="8" fillId="0" borderId="0" xfId="43" applyFont="1" applyAlignment="1">
      <alignment horizontal="center" vertical="center"/>
    </xf>
    <xf numFmtId="0" fontId="25" fillId="0" borderId="31" xfId="0" applyFont="1" applyBorder="1" applyAlignment="1">
      <alignment horizontal="left" vertical="center" wrapText="1"/>
    </xf>
    <xf numFmtId="0" fontId="3" fillId="0" borderId="30" xfId="0" applyFont="1" applyBorder="1" applyAlignment="1">
      <alignment horizontal="center" vertical="center"/>
    </xf>
    <xf numFmtId="0" fontId="0" fillId="0" borderId="30" xfId="0" applyBorder="1" applyAlignment="1">
      <alignment horizontal="center" vertical="center" wrapText="1"/>
    </xf>
    <xf numFmtId="9" fontId="25" fillId="0" borderId="30" xfId="49" applyNumberFormat="1" applyFont="1" applyBorder="1" applyAlignment="1">
      <alignment horizontal="center" vertical="center"/>
    </xf>
    <xf numFmtId="172" fontId="8" fillId="0" borderId="0" xfId="0" applyNumberFormat="1" applyFont="1" applyAlignment="1">
      <alignment horizontal="center" vertical="center"/>
    </xf>
    <xf numFmtId="0" fontId="8" fillId="0" borderId="0" xfId="49" applyFont="1" applyAlignment="1">
      <alignment horizontal="center" vertical="center"/>
    </xf>
    <xf numFmtId="0" fontId="25" fillId="0" borderId="30" xfId="45" applyFont="1" applyBorder="1" applyAlignment="1">
      <alignment horizontal="center" vertical="center"/>
    </xf>
    <xf numFmtId="0" fontId="25" fillId="0" borderId="31" xfId="45" applyFont="1" applyBorder="1" applyAlignment="1">
      <alignment horizontal="center" vertical="center"/>
    </xf>
    <xf numFmtId="0" fontId="25" fillId="0" borderId="31" xfId="44" applyFont="1" applyBorder="1" applyAlignment="1">
      <alignment vertical="center" wrapText="1"/>
    </xf>
    <xf numFmtId="172" fontId="25" fillId="0" borderId="30" xfId="45" applyNumberFormat="1" applyFont="1" applyBorder="1" applyAlignment="1">
      <alignment horizontal="center" vertical="center"/>
    </xf>
    <xf numFmtId="172" fontId="25" fillId="0" borderId="31" xfId="45" applyNumberFormat="1" applyFont="1" applyBorder="1" applyAlignment="1">
      <alignment horizontal="center" vertical="center"/>
    </xf>
    <xf numFmtId="172" fontId="25" fillId="0" borderId="30" xfId="63" applyNumberFormat="1" applyFont="1" applyFill="1" applyBorder="1" applyAlignment="1">
      <alignment horizontal="center" vertical="center" wrapText="1"/>
    </xf>
    <xf numFmtId="0" fontId="4" fillId="0" borderId="25" xfId="39" applyFont="1" applyBorder="1" applyAlignment="1">
      <alignment horizontal="center" vertical="center" wrapText="1"/>
    </xf>
    <xf numFmtId="0" fontId="4" fillId="0" borderId="26" xfId="39" applyFont="1" applyBorder="1" applyAlignment="1">
      <alignment horizontal="center" vertical="center" wrapText="1"/>
    </xf>
    <xf numFmtId="0" fontId="4" fillId="0" borderId="25" xfId="43" applyFont="1" applyBorder="1" applyAlignment="1">
      <alignment horizontal="center" vertical="center" wrapText="1"/>
    </xf>
    <xf numFmtId="0" fontId="4" fillId="0" borderId="26" xfId="43" applyFont="1" applyBorder="1" applyAlignment="1">
      <alignment horizontal="center" vertical="center" wrapText="1"/>
    </xf>
    <xf numFmtId="0" fontId="4" fillId="0" borderId="25" xfId="44" applyFont="1" applyBorder="1" applyAlignment="1">
      <alignment horizontal="center" vertical="center" wrapText="1"/>
    </xf>
    <xf numFmtId="0" fontId="4" fillId="0" borderId="26" xfId="44" applyFont="1" applyBorder="1" applyAlignment="1">
      <alignment horizontal="center" vertical="center" wrapText="1"/>
    </xf>
    <xf numFmtId="1" fontId="4" fillId="0" borderId="25" xfId="44" applyNumberFormat="1" applyFont="1" applyBorder="1" applyAlignment="1">
      <alignment horizontal="right" vertical="center" wrapText="1"/>
    </xf>
    <xf numFmtId="1" fontId="4" fillId="0" borderId="26" xfId="44" applyNumberFormat="1" applyFont="1" applyBorder="1" applyAlignment="1">
      <alignment horizontal="right" vertical="center" wrapText="1"/>
    </xf>
    <xf numFmtId="172" fontId="4" fillId="0" borderId="25" xfId="39" applyNumberFormat="1" applyFont="1" applyBorder="1" applyAlignment="1">
      <alignment horizontal="center" vertical="center" wrapText="1"/>
    </xf>
    <xf numFmtId="172" fontId="4" fillId="0" borderId="26" xfId="39" applyNumberFormat="1" applyFont="1" applyBorder="1" applyAlignment="1">
      <alignment horizontal="center" vertical="center" wrapText="1"/>
    </xf>
    <xf numFmtId="0" fontId="2" fillId="0" borderId="30" xfId="0" applyFont="1" applyBorder="1"/>
    <xf numFmtId="0" fontId="2" fillId="0" borderId="31" xfId="0" applyFont="1" applyBorder="1"/>
    <xf numFmtId="1" fontId="30" fillId="0" borderId="30" xfId="0" applyNumberFormat="1" applyFont="1" applyBorder="1" applyAlignment="1">
      <alignment vertical="center" wrapText="1"/>
    </xf>
    <xf numFmtId="0" fontId="30" fillId="0" borderId="30" xfId="0" applyFont="1" applyBorder="1"/>
    <xf numFmtId="172" fontId="31" fillId="0" borderId="30" xfId="0" applyNumberFormat="1" applyFont="1" applyBorder="1" applyAlignment="1">
      <alignment horizontal="center" vertical="center" wrapText="1"/>
    </xf>
    <xf numFmtId="172" fontId="2" fillId="0" borderId="30" xfId="0" applyNumberFormat="1" applyFont="1" applyBorder="1"/>
    <xf numFmtId="172" fontId="2" fillId="0" borderId="31" xfId="0" applyNumberFormat="1" applyFont="1" applyBorder="1"/>
    <xf numFmtId="0" fontId="30" fillId="0" borderId="30" xfId="0" applyFont="1" applyBorder="1" applyAlignment="1">
      <alignment vertical="center" wrapText="1"/>
    </xf>
    <xf numFmtId="0" fontId="39" fillId="0" borderId="30" xfId="0" applyFont="1" applyBorder="1" applyAlignment="1">
      <alignment horizontal="center" vertical="center" wrapText="1"/>
    </xf>
    <xf numFmtId="0" fontId="4" fillId="0" borderId="0" xfId="43" applyFont="1" applyAlignment="1">
      <alignment horizontal="center" vertical="center" wrapText="1"/>
    </xf>
    <xf numFmtId="0" fontId="5" fillId="2" borderId="2" xfId="43" applyFont="1" applyFill="1" applyBorder="1" applyAlignment="1">
      <alignment horizontal="center" vertical="center"/>
    </xf>
    <xf numFmtId="0" fontId="31" fillId="10" borderId="27" xfId="0" applyFont="1" applyFill="1" applyBorder="1" applyAlignment="1">
      <alignment horizontal="center" vertical="center" wrapText="1"/>
    </xf>
    <xf numFmtId="0" fontId="31" fillId="10" borderId="33" xfId="0" applyFont="1" applyFill="1" applyBorder="1" applyAlignment="1">
      <alignment horizontal="center" vertical="center" wrapText="1"/>
    </xf>
    <xf numFmtId="0" fontId="31" fillId="10" borderId="29" xfId="0" applyFont="1" applyFill="1" applyBorder="1" applyAlignment="1">
      <alignment horizontal="center" vertical="center" wrapText="1"/>
    </xf>
    <xf numFmtId="0" fontId="25" fillId="0" borderId="27" xfId="44" applyFont="1" applyBorder="1" applyAlignment="1">
      <alignment horizontal="center" vertical="center"/>
    </xf>
    <xf numFmtId="0" fontId="25" fillId="0" borderId="32" xfId="44" applyFont="1" applyBorder="1" applyAlignment="1">
      <alignment horizontal="center" vertical="center"/>
    </xf>
    <xf numFmtId="0" fontId="31" fillId="10" borderId="30" xfId="0" applyFont="1" applyFill="1" applyBorder="1" applyAlignment="1">
      <alignment horizontal="center" vertical="center" wrapText="1"/>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11" fillId="0" borderId="30" xfId="0" applyFont="1" applyBorder="1" applyAlignment="1">
      <alignment vertical="center" wrapText="1"/>
    </xf>
    <xf numFmtId="0" fontId="11" fillId="0" borderId="31" xfId="0" applyFont="1" applyBorder="1" applyAlignment="1">
      <alignment vertical="center" wrapText="1"/>
    </xf>
    <xf numFmtId="172" fontId="25" fillId="0" borderId="30" xfId="49" applyNumberFormat="1" applyFont="1" applyBorder="1" applyAlignment="1">
      <alignment horizontal="center" vertical="center" wrapText="1"/>
    </xf>
    <xf numFmtId="172" fontId="25" fillId="0" borderId="31" xfId="49" applyNumberFormat="1" applyFont="1" applyBorder="1" applyAlignment="1">
      <alignment horizontal="center" vertical="center" wrapText="1"/>
    </xf>
    <xf numFmtId="0" fontId="73" fillId="0" borderId="30" xfId="0" applyFont="1" applyBorder="1" applyAlignment="1">
      <alignment horizontal="center" vertical="center" wrapText="1"/>
    </xf>
    <xf numFmtId="9" fontId="25" fillId="0" borderId="30" xfId="49" applyNumberFormat="1" applyFont="1" applyBorder="1" applyAlignment="1">
      <alignment horizontal="center" vertical="center" wrapText="1"/>
    </xf>
    <xf numFmtId="1" fontId="8" fillId="0" borderId="30" xfId="0" applyNumberFormat="1" applyFont="1" applyBorder="1" applyAlignment="1">
      <alignment horizontal="center" vertical="center" wrapText="1"/>
    </xf>
    <xf numFmtId="0" fontId="31" fillId="10" borderId="30" xfId="0" applyFont="1" applyFill="1" applyBorder="1" applyAlignment="1">
      <alignment horizontal="center" vertical="center"/>
    </xf>
    <xf numFmtId="0" fontId="40" fillId="0" borderId="30" xfId="0" applyFont="1" applyBorder="1"/>
    <xf numFmtId="0" fontId="37" fillId="10" borderId="30" xfId="0" applyFont="1" applyFill="1" applyBorder="1" applyAlignment="1">
      <alignment horizontal="center" vertical="center" wrapText="1"/>
    </xf>
    <xf numFmtId="1" fontId="31" fillId="10" borderId="30" xfId="0" applyNumberFormat="1" applyFont="1" applyFill="1" applyBorder="1" applyAlignment="1">
      <alignment horizontal="center" vertical="center" wrapText="1"/>
    </xf>
    <xf numFmtId="0" fontId="31" fillId="10" borderId="30" xfId="0" applyFont="1" applyFill="1" applyBorder="1" applyAlignment="1">
      <alignment vertical="center" wrapText="1"/>
    </xf>
    <xf numFmtId="9" fontId="31" fillId="10" borderId="30" xfId="0" applyNumberFormat="1" applyFont="1" applyFill="1" applyBorder="1" applyAlignment="1">
      <alignment horizontal="center" vertical="center" wrapText="1"/>
    </xf>
    <xf numFmtId="9" fontId="116" fillId="0" borderId="30" xfId="0" applyNumberFormat="1" applyFont="1" applyBorder="1"/>
    <xf numFmtId="0" fontId="113" fillId="10" borderId="30" xfId="0" applyFont="1" applyFill="1" applyBorder="1" applyAlignment="1">
      <alignment horizontal="center" vertical="center" wrapText="1"/>
    </xf>
    <xf numFmtId="0" fontId="31" fillId="10" borderId="30" xfId="0" applyFont="1" applyFill="1" applyBorder="1" applyAlignment="1">
      <alignment horizontal="left" vertical="center" wrapText="1"/>
    </xf>
    <xf numFmtId="0" fontId="36" fillId="10" borderId="30" xfId="0" applyFont="1" applyFill="1" applyBorder="1" applyAlignment="1">
      <alignment vertical="center" wrapText="1"/>
    </xf>
    <xf numFmtId="0" fontId="31" fillId="10" borderId="27" xfId="0" applyFont="1" applyFill="1" applyBorder="1" applyAlignment="1">
      <alignment horizontal="center" vertical="center"/>
    </xf>
    <xf numFmtId="0" fontId="31" fillId="10" borderId="33" xfId="0" applyFont="1" applyFill="1" applyBorder="1" applyAlignment="1">
      <alignment horizontal="center" vertical="center"/>
    </xf>
    <xf numFmtId="0" fontId="37" fillId="10" borderId="27" xfId="0" applyFont="1" applyFill="1" applyBorder="1" applyAlignment="1">
      <alignment horizontal="center" vertical="center" wrapText="1"/>
    </xf>
    <xf numFmtId="0" fontId="37" fillId="10" borderId="33" xfId="0" applyFont="1" applyFill="1" applyBorder="1" applyAlignment="1">
      <alignment horizontal="center" vertical="center" wrapText="1"/>
    </xf>
    <xf numFmtId="1" fontId="31" fillId="10" borderId="27" xfId="0" applyNumberFormat="1" applyFont="1" applyFill="1" applyBorder="1" applyAlignment="1">
      <alignment horizontal="center" vertical="center" wrapText="1"/>
    </xf>
    <xf numFmtId="1" fontId="31" fillId="10" borderId="33" xfId="0" applyNumberFormat="1" applyFont="1" applyFill="1" applyBorder="1" applyAlignment="1">
      <alignment horizontal="center" vertical="center" wrapText="1"/>
    </xf>
    <xf numFmtId="0" fontId="36" fillId="10" borderId="27" xfId="0" applyFont="1" applyFill="1" applyBorder="1" applyAlignment="1">
      <alignment vertical="center" wrapText="1"/>
    </xf>
    <xf numFmtId="0" fontId="36" fillId="10" borderId="33" xfId="0" applyFont="1" applyFill="1" applyBorder="1" applyAlignment="1">
      <alignment vertical="center" wrapText="1"/>
    </xf>
    <xf numFmtId="1" fontId="31" fillId="10" borderId="29" xfId="0" applyNumberFormat="1" applyFont="1" applyFill="1" applyBorder="1" applyAlignment="1">
      <alignment horizontal="center" vertical="center" wrapText="1"/>
    </xf>
    <xf numFmtId="0" fontId="31" fillId="10" borderId="29" xfId="0" applyFont="1" applyFill="1" applyBorder="1" applyAlignment="1">
      <alignment horizontal="center" vertical="center"/>
    </xf>
    <xf numFmtId="172" fontId="31" fillId="10" borderId="30" xfId="0" applyNumberFormat="1" applyFont="1" applyFill="1" applyBorder="1" applyAlignment="1">
      <alignment horizontal="center" vertical="center"/>
    </xf>
    <xf numFmtId="0" fontId="4" fillId="4" borderId="1" xfId="43" applyFont="1" applyFill="1" applyBorder="1" applyAlignment="1">
      <alignment horizontal="center" vertical="center" wrapText="1"/>
    </xf>
    <xf numFmtId="0" fontId="4" fillId="4" borderId="28" xfId="43" applyFont="1" applyFill="1" applyBorder="1" applyAlignment="1">
      <alignment horizontal="center" vertical="center" wrapText="1"/>
    </xf>
    <xf numFmtId="0" fontId="4" fillId="4" borderId="1" xfId="39" applyFont="1" applyFill="1" applyBorder="1" applyAlignment="1">
      <alignment horizontal="center" vertical="center" wrapText="1"/>
    </xf>
    <xf numFmtId="0" fontId="4" fillId="4" borderId="28" xfId="39" applyFont="1" applyFill="1" applyBorder="1" applyAlignment="1">
      <alignment horizontal="center" vertical="center" wrapText="1"/>
    </xf>
    <xf numFmtId="1" fontId="4" fillId="0" borderId="20" xfId="44" applyNumberFormat="1" applyFont="1" applyBorder="1" applyAlignment="1">
      <alignment horizontal="center" vertical="center" wrapText="1"/>
    </xf>
    <xf numFmtId="1" fontId="4" fillId="0" borderId="21" xfId="44" applyNumberFormat="1" applyFont="1" applyBorder="1" applyAlignment="1">
      <alignment horizontal="center" vertical="center" wrapText="1"/>
    </xf>
    <xf numFmtId="0" fontId="100" fillId="0" borderId="56" xfId="0" applyFont="1" applyBorder="1" applyAlignment="1">
      <alignment horizontal="center" vertical="center" wrapText="1"/>
    </xf>
    <xf numFmtId="172" fontId="100" fillId="0" borderId="56" xfId="0" applyNumberFormat="1" applyFont="1" applyBorder="1" applyAlignment="1">
      <alignment horizontal="center" vertical="center" wrapText="1"/>
    </xf>
    <xf numFmtId="0" fontId="100" fillId="0" borderId="31" xfId="0" applyFont="1" applyBorder="1" applyAlignment="1">
      <alignment horizontal="center" vertical="center" wrapText="1"/>
    </xf>
    <xf numFmtId="172" fontId="100" fillId="0" borderId="31" xfId="0" applyNumberFormat="1" applyFont="1" applyBorder="1" applyAlignment="1">
      <alignment horizontal="center" vertical="center" wrapText="1"/>
    </xf>
    <xf numFmtId="0" fontId="100" fillId="0" borderId="27" xfId="0" applyFont="1" applyBorder="1" applyAlignment="1">
      <alignment horizontal="center" vertical="center"/>
    </xf>
    <xf numFmtId="0" fontId="100" fillId="0" borderId="29" xfId="0" applyFont="1" applyBorder="1" applyAlignment="1">
      <alignment horizontal="center" vertical="center"/>
    </xf>
    <xf numFmtId="0" fontId="100" fillId="0" borderId="33" xfId="0" applyFont="1" applyBorder="1" applyAlignment="1">
      <alignment horizontal="center" vertical="center"/>
    </xf>
    <xf numFmtId="1" fontId="120" fillId="0" borderId="27" xfId="0" applyNumberFormat="1" applyFont="1" applyBorder="1" applyAlignment="1">
      <alignment horizontal="center" vertical="center"/>
    </xf>
    <xf numFmtId="1" fontId="120" fillId="0" borderId="29" xfId="0" applyNumberFormat="1" applyFont="1" applyBorder="1" applyAlignment="1">
      <alignment horizontal="center" vertical="center"/>
    </xf>
    <xf numFmtId="1" fontId="120" fillId="0" borderId="33" xfId="0" applyNumberFormat="1" applyFont="1" applyBorder="1" applyAlignment="1">
      <alignment horizontal="center" vertical="center"/>
    </xf>
    <xf numFmtId="0" fontId="100" fillId="0" borderId="32" xfId="0" applyFont="1" applyBorder="1" applyAlignment="1">
      <alignment horizontal="center" vertical="center"/>
    </xf>
    <xf numFmtId="1" fontId="120" fillId="0" borderId="32" xfId="0" applyNumberFormat="1" applyFont="1" applyBorder="1" applyAlignment="1">
      <alignment horizontal="center" vertical="center"/>
    </xf>
    <xf numFmtId="0" fontId="5" fillId="0" borderId="20" xfId="43" applyFont="1" applyBorder="1" applyAlignment="1">
      <alignment horizontal="center" vertical="top" wrapText="1"/>
    </xf>
    <xf numFmtId="0" fontId="39" fillId="0" borderId="56" xfId="0" applyFont="1" applyBorder="1" applyAlignment="1">
      <alignment horizontal="center" vertical="center" wrapText="1"/>
    </xf>
    <xf numFmtId="0" fontId="31" fillId="0" borderId="56" xfId="0" applyFont="1" applyBorder="1" applyAlignment="1">
      <alignment horizontal="center" vertical="center" wrapText="1"/>
    </xf>
    <xf numFmtId="1" fontId="31" fillId="0" borderId="56" xfId="0" applyNumberFormat="1" applyFont="1" applyBorder="1" applyAlignment="1">
      <alignment horizontal="center" vertical="center" wrapText="1"/>
    </xf>
    <xf numFmtId="0" fontId="31" fillId="0" borderId="56" xfId="0" applyFont="1" applyBorder="1" applyAlignment="1">
      <alignment horizontal="justify" vertical="center" wrapText="1"/>
    </xf>
    <xf numFmtId="172" fontId="39" fillId="0" borderId="56" xfId="63" applyNumberFormat="1" applyFont="1" applyBorder="1" applyAlignment="1">
      <alignment horizontal="center" vertical="center"/>
    </xf>
    <xf numFmtId="172" fontId="39" fillId="0" borderId="56" xfId="0" applyNumberFormat="1" applyFont="1" applyBorder="1" applyAlignment="1">
      <alignment horizontal="center" vertical="center" wrapText="1"/>
    </xf>
    <xf numFmtId="172" fontId="31" fillId="0" borderId="56" xfId="63" applyNumberFormat="1" applyFont="1" applyBorder="1" applyAlignment="1">
      <alignment horizontal="center" vertical="center" wrapText="1"/>
    </xf>
    <xf numFmtId="172" fontId="31" fillId="0" borderId="31" xfId="63" applyNumberFormat="1" applyFont="1" applyBorder="1" applyAlignment="1">
      <alignment horizontal="center" vertical="center" wrapText="1"/>
    </xf>
    <xf numFmtId="172" fontId="39" fillId="0" borderId="31" xfId="63" applyNumberFormat="1" applyFont="1" applyBorder="1" applyAlignment="1">
      <alignment horizontal="center" vertical="center"/>
    </xf>
    <xf numFmtId="0" fontId="39" fillId="0" borderId="31" xfId="0" applyFont="1" applyBorder="1" applyAlignment="1">
      <alignment horizontal="center" vertical="center" wrapText="1"/>
    </xf>
    <xf numFmtId="0" fontId="8" fillId="0" borderId="0" xfId="44" applyFont="1" applyAlignment="1">
      <alignment vertical="center" wrapText="1"/>
    </xf>
    <xf numFmtId="0" fontId="31" fillId="0" borderId="31" xfId="0" applyFont="1" applyBorder="1" applyAlignment="1">
      <alignment horizontal="justify" vertical="center" wrapText="1"/>
    </xf>
    <xf numFmtId="0" fontId="31" fillId="0" borderId="56" xfId="0" applyFont="1" applyBorder="1" applyAlignment="1">
      <alignment vertical="center" wrapText="1"/>
    </xf>
    <xf numFmtId="0" fontId="52" fillId="0" borderId="1" xfId="44" applyFont="1" applyBorder="1" applyAlignment="1">
      <alignment horizontal="center" vertical="center" wrapText="1"/>
    </xf>
    <xf numFmtId="0" fontId="52" fillId="0" borderId="6" xfId="38" applyFont="1" applyBorder="1" applyAlignment="1">
      <alignment horizontal="center" vertical="center" wrapText="1"/>
    </xf>
    <xf numFmtId="0" fontId="52" fillId="0" borderId="2" xfId="38" applyFont="1" applyBorder="1" applyAlignment="1">
      <alignment horizontal="center" vertical="center" wrapText="1"/>
    </xf>
    <xf numFmtId="0" fontId="53" fillId="0" borderId="1" xfId="39" applyFont="1" applyBorder="1" applyAlignment="1">
      <alignment horizontal="center" vertical="center" wrapText="1"/>
    </xf>
    <xf numFmtId="0" fontId="52" fillId="0" borderId="6" xfId="43" applyFont="1" applyBorder="1" applyAlignment="1">
      <alignment horizontal="center" vertical="center" wrapText="1"/>
    </xf>
    <xf numFmtId="0" fontId="52" fillId="0" borderId="2" xfId="43" applyFont="1" applyBorder="1" applyAlignment="1">
      <alignment horizontal="center" vertical="center" wrapText="1"/>
    </xf>
    <xf numFmtId="0" fontId="52" fillId="0" borderId="6" xfId="44" applyFont="1" applyBorder="1" applyAlignment="1">
      <alignment horizontal="center" vertical="center" wrapText="1"/>
    </xf>
    <xf numFmtId="0" fontId="52" fillId="0" borderId="2" xfId="44" applyFont="1" applyBorder="1" applyAlignment="1">
      <alignment horizontal="center" vertical="center" wrapText="1"/>
    </xf>
    <xf numFmtId="0" fontId="52" fillId="0" borderId="6" xfId="39" applyFont="1" applyBorder="1" applyAlignment="1">
      <alignment horizontal="center" vertical="center" wrapText="1"/>
    </xf>
    <xf numFmtId="0" fontId="52" fillId="0" borderId="2" xfId="39" applyFont="1" applyBorder="1" applyAlignment="1">
      <alignment horizontal="center" vertical="center" wrapText="1"/>
    </xf>
    <xf numFmtId="0" fontId="31" fillId="0" borderId="56" xfId="43" applyFont="1" applyBorder="1" applyAlignment="1">
      <alignment horizontal="center" vertical="center" wrapText="1"/>
    </xf>
    <xf numFmtId="1" fontId="31" fillId="0" borderId="56" xfId="43" applyNumberFormat="1" applyFont="1" applyBorder="1" applyAlignment="1">
      <alignment horizontal="center" vertical="center" wrapText="1"/>
    </xf>
    <xf numFmtId="0" fontId="31" fillId="0" borderId="56" xfId="43" applyFont="1" applyBorder="1" applyAlignment="1">
      <alignment horizontal="left" vertical="center" wrapText="1"/>
    </xf>
    <xf numFmtId="172" fontId="39" fillId="0" borderId="56" xfId="65" applyNumberFormat="1" applyFont="1" applyFill="1" applyBorder="1" applyAlignment="1">
      <alignment horizontal="center" vertical="center" wrapText="1"/>
    </xf>
    <xf numFmtId="172" fontId="31" fillId="0" borderId="56" xfId="65" applyNumberFormat="1" applyFont="1" applyFill="1" applyBorder="1" applyAlignment="1">
      <alignment horizontal="center" vertical="center" wrapText="1"/>
    </xf>
    <xf numFmtId="0" fontId="36" fillId="0" borderId="56" xfId="43" applyFont="1" applyBorder="1" applyAlignment="1">
      <alignment horizontal="left" vertical="center" wrapText="1"/>
    </xf>
    <xf numFmtId="0" fontId="31" fillId="0" borderId="56" xfId="43" applyFont="1" applyBorder="1" applyAlignment="1">
      <alignment vertical="center" wrapText="1"/>
    </xf>
    <xf numFmtId="14" fontId="31" fillId="0" borderId="56" xfId="43" applyNumberFormat="1" applyFont="1" applyBorder="1" applyAlignment="1">
      <alignment horizontal="center" vertical="center" wrapText="1"/>
    </xf>
    <xf numFmtId="0" fontId="36" fillId="0" borderId="56" xfId="43" applyFont="1" applyBorder="1" applyAlignment="1">
      <alignment horizontal="center" vertical="center" wrapText="1"/>
    </xf>
    <xf numFmtId="0" fontId="31" fillId="0" borderId="56" xfId="43" applyFont="1" applyBorder="1" applyAlignment="1">
      <alignment horizontal="center" vertical="center"/>
    </xf>
    <xf numFmtId="0" fontId="8" fillId="0" borderId="0" xfId="47" applyFont="1" applyAlignment="1">
      <alignment vertical="center" wrapText="1"/>
    </xf>
    <xf numFmtId="0" fontId="8" fillId="0" borderId="0" xfId="47" applyFont="1" applyAlignment="1">
      <alignment horizontal="center" vertical="center" wrapText="1"/>
    </xf>
    <xf numFmtId="0" fontId="31" fillId="0" borderId="27" xfId="43" applyFont="1" applyBorder="1" applyAlignment="1">
      <alignment horizontal="center" vertical="center" wrapText="1"/>
    </xf>
    <xf numFmtId="0" fontId="31" fillId="0" borderId="29" xfId="43" applyFont="1" applyBorder="1" applyAlignment="1">
      <alignment horizontal="center" vertical="center" wrapText="1"/>
    </xf>
    <xf numFmtId="0" fontId="31" fillId="0" borderId="33" xfId="43" applyFont="1" applyBorder="1" applyAlignment="1">
      <alignment horizontal="center" vertical="center" wrapText="1"/>
    </xf>
    <xf numFmtId="0" fontId="31" fillId="0" borderId="32" xfId="43" applyFont="1" applyBorder="1" applyAlignment="1">
      <alignment horizontal="center" vertical="center" wrapText="1"/>
    </xf>
    <xf numFmtId="0" fontId="31" fillId="0" borderId="31" xfId="43" applyFont="1" applyBorder="1" applyAlignment="1">
      <alignment horizontal="center" vertical="center" wrapText="1"/>
    </xf>
    <xf numFmtId="172" fontId="31" fillId="0" borderId="31" xfId="65" applyNumberFormat="1" applyFont="1" applyFill="1" applyBorder="1" applyAlignment="1">
      <alignment horizontal="center" vertical="center" wrapText="1"/>
    </xf>
    <xf numFmtId="0" fontId="31" fillId="0" borderId="31" xfId="43" applyFont="1" applyBorder="1" applyAlignment="1">
      <alignment horizontal="left" vertical="center" wrapText="1"/>
    </xf>
    <xf numFmtId="0" fontId="25" fillId="0" borderId="27" xfId="44" applyFont="1" applyBorder="1" applyAlignment="1">
      <alignment horizontal="center" vertical="center" wrapText="1"/>
    </xf>
    <xf numFmtId="0" fontId="25" fillId="0" borderId="29" xfId="44" applyFont="1" applyBorder="1" applyAlignment="1">
      <alignment horizontal="center" vertical="center" wrapText="1"/>
    </xf>
    <xf numFmtId="0" fontId="25" fillId="0" borderId="32" xfId="44" applyFont="1" applyBorder="1" applyAlignment="1">
      <alignment horizontal="center" vertical="center" wrapText="1"/>
    </xf>
    <xf numFmtId="172" fontId="25" fillId="0" borderId="56" xfId="79" applyNumberFormat="1" applyFont="1" applyFill="1" applyBorder="1" applyAlignment="1">
      <alignment horizontal="center" vertical="center"/>
    </xf>
    <xf numFmtId="172" fontId="25" fillId="0" borderId="31" xfId="79" applyNumberFormat="1" applyFont="1" applyFill="1" applyBorder="1" applyAlignment="1">
      <alignment horizontal="center" vertical="center"/>
    </xf>
    <xf numFmtId="14" fontId="25" fillId="4" borderId="27" xfId="44" applyNumberFormat="1" applyFont="1" applyFill="1" applyBorder="1" applyAlignment="1">
      <alignment vertical="center"/>
    </xf>
    <xf numFmtId="14" fontId="25" fillId="4" borderId="57" xfId="44" applyNumberFormat="1" applyFont="1" applyFill="1" applyBorder="1" applyAlignment="1">
      <alignment vertical="center"/>
    </xf>
    <xf numFmtId="14" fontId="25" fillId="0" borderId="27" xfId="44" applyNumberFormat="1" applyFont="1" applyFill="1" applyBorder="1" applyAlignment="1">
      <alignment vertical="center"/>
    </xf>
    <xf numFmtId="14" fontId="25" fillId="0" borderId="31" xfId="44" applyNumberFormat="1" applyFont="1" applyFill="1" applyBorder="1" applyAlignment="1">
      <alignment vertical="center"/>
    </xf>
  </cellXfs>
  <cellStyles count="91">
    <cellStyle name="Error" xfId="82" xr:uid="{00000000-0005-0000-0000-000000000000}"/>
    <cellStyle name="Euro" xfId="1" xr:uid="{00000000-0005-0000-0000-000001000000}"/>
    <cellStyle name="Euro 2" xfId="2" xr:uid="{00000000-0005-0000-0000-000002000000}"/>
    <cellStyle name="Excel Built-in Normal" xfId="3" xr:uid="{00000000-0005-0000-0000-000003000000}"/>
    <cellStyle name="Excel Built-in Normal 1" xfId="4" xr:uid="{00000000-0005-0000-0000-000004000000}"/>
    <cellStyle name="Excel Built-in Normal 2" xfId="5" xr:uid="{00000000-0005-0000-0000-000005000000}"/>
    <cellStyle name="Excel_BuiltIn_Texto explicativo" xfId="6" xr:uid="{00000000-0005-0000-0000-000006000000}"/>
    <cellStyle name="Millares" xfId="86" builtinId="3"/>
    <cellStyle name="Millares [0]" xfId="87" builtinId="6"/>
    <cellStyle name="Millares [0] 2" xfId="7" xr:uid="{00000000-0005-0000-0000-000009000000}"/>
    <cellStyle name="Millares [0] 2 2" xfId="77" xr:uid="{00000000-0005-0000-0000-00000A000000}"/>
    <cellStyle name="Millares [0] 3" xfId="8" xr:uid="{00000000-0005-0000-0000-00000B000000}"/>
    <cellStyle name="Millares [0] 4" xfId="9" xr:uid="{00000000-0005-0000-0000-00000C000000}"/>
    <cellStyle name="Millares [0] 5" xfId="10" xr:uid="{00000000-0005-0000-0000-00000D000000}"/>
    <cellStyle name="Millares [0] 5 2" xfId="11" xr:uid="{00000000-0005-0000-0000-00000E000000}"/>
    <cellStyle name="Millares [0] 6" xfId="12" xr:uid="{00000000-0005-0000-0000-00000F000000}"/>
    <cellStyle name="Millares 10" xfId="13" xr:uid="{00000000-0005-0000-0000-000010000000}"/>
    <cellStyle name="Millares 11" xfId="14" xr:uid="{00000000-0005-0000-0000-000011000000}"/>
    <cellStyle name="Millares 12" xfId="15" xr:uid="{00000000-0005-0000-0000-000012000000}"/>
    <cellStyle name="Millares 2" xfId="16" xr:uid="{00000000-0005-0000-0000-000013000000}"/>
    <cellStyle name="Millares 2 2" xfId="17" xr:uid="{00000000-0005-0000-0000-000014000000}"/>
    <cellStyle name="Millares 2 2 2" xfId="18" xr:uid="{00000000-0005-0000-0000-000015000000}"/>
    <cellStyle name="Millares 2 2 2 2" xfId="19" xr:uid="{00000000-0005-0000-0000-000016000000}"/>
    <cellStyle name="Millares 2 2 3" xfId="20" xr:uid="{00000000-0005-0000-0000-000017000000}"/>
    <cellStyle name="Millares 2 3" xfId="21" xr:uid="{00000000-0005-0000-0000-000018000000}"/>
    <cellStyle name="Millares 3" xfId="22" xr:uid="{00000000-0005-0000-0000-000019000000}"/>
    <cellStyle name="Millares 4" xfId="23" xr:uid="{00000000-0005-0000-0000-00001A000000}"/>
    <cellStyle name="Millares 4 2" xfId="24" xr:uid="{00000000-0005-0000-0000-00001B000000}"/>
    <cellStyle name="Millares 5" xfId="25" xr:uid="{00000000-0005-0000-0000-00001C000000}"/>
    <cellStyle name="Millares 5 2" xfId="26" xr:uid="{00000000-0005-0000-0000-00001D000000}"/>
    <cellStyle name="Millares 6" xfId="27" xr:uid="{00000000-0005-0000-0000-00001E000000}"/>
    <cellStyle name="Millares 7" xfId="28" xr:uid="{00000000-0005-0000-0000-00001F000000}"/>
    <cellStyle name="Millares 8" xfId="29" xr:uid="{00000000-0005-0000-0000-000020000000}"/>
    <cellStyle name="Millares 9" xfId="30" xr:uid="{00000000-0005-0000-0000-000021000000}"/>
    <cellStyle name="Moneda" xfId="88" builtinId="4"/>
    <cellStyle name="Moneda [0]" xfId="90" builtinId="7"/>
    <cellStyle name="Moneda [0] 2" xfId="76" xr:uid="{00000000-0005-0000-0000-000024000000}"/>
    <cellStyle name="Moneda [0] 3" xfId="31" xr:uid="{00000000-0005-0000-0000-000025000000}"/>
    <cellStyle name="Moneda [0] 5" xfId="32" xr:uid="{00000000-0005-0000-0000-000026000000}"/>
    <cellStyle name="Moneda 2" xfId="33" xr:uid="{00000000-0005-0000-0000-000027000000}"/>
    <cellStyle name="Moneda 5" xfId="34" xr:uid="{00000000-0005-0000-0000-000028000000}"/>
    <cellStyle name="Normal" xfId="0" builtinId="0"/>
    <cellStyle name="Normal 10 2" xfId="84" xr:uid="{311F6B21-7B6F-4204-9FCF-E8DF16C6619D}"/>
    <cellStyle name="Normal 11" xfId="85" xr:uid="{B266DC12-DB12-4FBC-8ED7-FB3914FF6FDE}"/>
    <cellStyle name="Normal 112" xfId="35" xr:uid="{00000000-0005-0000-0000-00002A000000}"/>
    <cellStyle name="Normal 113" xfId="36" xr:uid="{00000000-0005-0000-0000-00002B000000}"/>
    <cellStyle name="Normal 114" xfId="37" xr:uid="{00000000-0005-0000-0000-00002C000000}"/>
    <cellStyle name="Normal 2" xfId="38" xr:uid="{00000000-0005-0000-0000-00002D000000}"/>
    <cellStyle name="Normal 2 2" xfId="39" xr:uid="{00000000-0005-0000-0000-00002E000000}"/>
    <cellStyle name="Normal 2 2 2" xfId="40" xr:uid="{00000000-0005-0000-0000-00002F000000}"/>
    <cellStyle name="Normal 2 3" xfId="41" xr:uid="{00000000-0005-0000-0000-000030000000}"/>
    <cellStyle name="Normal 2 3 2" xfId="42" xr:uid="{00000000-0005-0000-0000-000031000000}"/>
    <cellStyle name="Normal 3" xfId="43" xr:uid="{00000000-0005-0000-0000-000032000000}"/>
    <cellStyle name="Normal 3 2" xfId="44" xr:uid="{00000000-0005-0000-0000-000033000000}"/>
    <cellStyle name="Normal 3 2 2" xfId="45" xr:uid="{00000000-0005-0000-0000-000034000000}"/>
    <cellStyle name="Normal 3 2 2 2" xfId="46" xr:uid="{00000000-0005-0000-0000-000035000000}"/>
    <cellStyle name="Normal 3 2 3" xfId="47" xr:uid="{00000000-0005-0000-0000-000036000000}"/>
    <cellStyle name="Normal 3 2_Cuadro 1F Plan de Accion 2012" xfId="48" xr:uid="{00000000-0005-0000-0000-000037000000}"/>
    <cellStyle name="Normal 3 3" xfId="49" xr:uid="{00000000-0005-0000-0000-000038000000}"/>
    <cellStyle name="Normal 3 3 2" xfId="75" xr:uid="{00000000-0005-0000-0000-000039000000}"/>
    <cellStyle name="Normal 3 4" xfId="50" xr:uid="{00000000-0005-0000-0000-00003A000000}"/>
    <cellStyle name="Normal 3_Copia de Cuadro 1F Plan de Accion 2012" xfId="51" xr:uid="{00000000-0005-0000-0000-00003B000000}"/>
    <cellStyle name="Normal 3_Cuadro 1F Plan de Accion 2012" xfId="89" xr:uid="{F49B9DB5-2B5F-4DDD-AEDB-1F049E92DECB}"/>
    <cellStyle name="Normal 4" xfId="52" xr:uid="{00000000-0005-0000-0000-00003D000000}"/>
    <cellStyle name="Normal 46" xfId="53" xr:uid="{00000000-0005-0000-0000-00003E000000}"/>
    <cellStyle name="Normal 47" xfId="54" xr:uid="{00000000-0005-0000-0000-00003F000000}"/>
    <cellStyle name="Normal 48" xfId="55" xr:uid="{00000000-0005-0000-0000-000040000000}"/>
    <cellStyle name="Normal 5" xfId="56" xr:uid="{00000000-0005-0000-0000-000041000000}"/>
    <cellStyle name="Normal 5 2" xfId="57" xr:uid="{00000000-0005-0000-0000-000042000000}"/>
    <cellStyle name="Normal 6" xfId="58" xr:uid="{00000000-0005-0000-0000-000043000000}"/>
    <cellStyle name="Normal 6 2" xfId="59" xr:uid="{00000000-0005-0000-0000-000044000000}"/>
    <cellStyle name="Normal 7" xfId="60" xr:uid="{00000000-0005-0000-0000-000045000000}"/>
    <cellStyle name="Normal 8" xfId="61" xr:uid="{00000000-0005-0000-0000-000046000000}"/>
    <cellStyle name="Normal 8 2" xfId="62" xr:uid="{00000000-0005-0000-0000-000047000000}"/>
    <cellStyle name="Normal 8 2 2" xfId="81" xr:uid="{00000000-0005-0000-0000-000048000000}"/>
    <cellStyle name="Normal 8 2 2 2" xfId="83" xr:uid="{00000000-0005-0000-0000-000049000000}"/>
    <cellStyle name="Normal 8 3" xfId="80" xr:uid="{00000000-0005-0000-0000-00004A000000}"/>
    <cellStyle name="Porcentaje" xfId="63" builtinId="5"/>
    <cellStyle name="Porcentaje 2" xfId="64" xr:uid="{00000000-0005-0000-0000-00004D000000}"/>
    <cellStyle name="Porcentaje 2 2" xfId="65" xr:uid="{00000000-0005-0000-0000-00004E000000}"/>
    <cellStyle name="Porcentaje 3" xfId="66" xr:uid="{00000000-0005-0000-0000-00004F000000}"/>
    <cellStyle name="Porcentaje 3 2" xfId="67" xr:uid="{00000000-0005-0000-0000-000050000000}"/>
    <cellStyle name="Porcentaje 3 2 2" xfId="68" xr:uid="{00000000-0005-0000-0000-000051000000}"/>
    <cellStyle name="Porcentaje 3 2 2 2" xfId="69" xr:uid="{00000000-0005-0000-0000-000052000000}"/>
    <cellStyle name="Porcentaje 3 3" xfId="79" xr:uid="{00000000-0005-0000-0000-000053000000}"/>
    <cellStyle name="Porcentaje 4" xfId="70" xr:uid="{00000000-0005-0000-0000-000054000000}"/>
    <cellStyle name="Porcentaje 5" xfId="78" xr:uid="{00000000-0005-0000-0000-000055000000}"/>
    <cellStyle name="Porcentual 2" xfId="71" xr:uid="{00000000-0005-0000-0000-000056000000}"/>
    <cellStyle name="Porcentual 3" xfId="72" xr:uid="{00000000-0005-0000-0000-000057000000}"/>
    <cellStyle name="Porcentual 4" xfId="73" xr:uid="{00000000-0005-0000-0000-000058000000}"/>
    <cellStyle name="Porcentual 5" xfId="74" xr:uid="{00000000-0005-0000-0000-000059000000}"/>
  </cellStyles>
  <dxfs count="2">
    <dxf>
      <font>
        <color rgb="FF000000"/>
      </font>
      <fill>
        <patternFill patternType="solid">
          <fgColor rgb="FFFFFFCC"/>
          <bgColor rgb="FFFFFFCC"/>
        </patternFill>
      </fill>
    </dxf>
    <dxf>
      <fill>
        <patternFill>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Ejecución presupuestal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 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 Marzo de 2024</a:t>
            </a:r>
          </a:p>
        </c:rich>
      </c:tx>
      <c:overlay val="0"/>
      <c:spPr>
        <a:noFill/>
        <a:ln w="25400">
          <a:noFill/>
        </a:ln>
      </c:spPr>
    </c:title>
    <c:autoTitleDeleted val="0"/>
    <c:plotArea>
      <c:layout>
        <c:manualLayout>
          <c:layoutTarget val="inner"/>
          <c:xMode val="edge"/>
          <c:yMode val="edge"/>
          <c:x val="0.24705940553242367"/>
          <c:y val="0.31072982031092267"/>
          <c:w val="0.52010333786810692"/>
          <c:h val="0.61132146174035951"/>
        </c:manualLayout>
      </c:layout>
      <c:doughnutChart>
        <c:varyColors val="1"/>
        <c:ser>
          <c:idx val="0"/>
          <c:order val="0"/>
          <c:tx>
            <c:strRef>
              <c:f>'Marzo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A58A-4EA7-A835-EC4FC0FFF2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58A-4EA7-A835-EC4FC0FFF2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58A-4EA7-A835-EC4FC0FFF2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58A-4EA7-A835-EC4FC0FFF2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58A-4EA7-A835-EC4FC0FFF24A}"/>
              </c:ext>
            </c:extLst>
          </c:dPt>
          <c:dPt>
            <c:idx val="5"/>
            <c:bubble3D val="0"/>
            <c:spPr>
              <a:noFill/>
              <a:ln w="19050">
                <a:solidFill>
                  <a:schemeClr val="lt1"/>
                </a:solidFill>
              </a:ln>
              <a:effectLst/>
            </c:spPr>
            <c:extLst>
              <c:ext xmlns:c16="http://schemas.microsoft.com/office/drawing/2014/chart" uri="{C3380CC4-5D6E-409C-BE32-E72D297353CC}">
                <c16:uniqueId val="{00000005-A58A-4EA7-A835-EC4FC0FFF24A}"/>
              </c:ext>
            </c:extLst>
          </c:dPt>
          <c:dLbls>
            <c:dLbl>
              <c:idx val="0"/>
              <c:layout>
                <c:manualLayout>
                  <c:x val="-7.9988456940264699E-2"/>
                  <c:y val="5.5555501716131488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58A-4EA7-A835-EC4FC0FFF24A}"/>
                </c:ext>
              </c:extLst>
            </c:dLbl>
            <c:dLbl>
              <c:idx val="1"/>
              <c:layout>
                <c:manualLayout>
                  <c:x val="-0.11403443679487708"/>
                  <c:y val="-7.521280634891811E-17"/>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58A-4EA7-A835-EC4FC0FFF24A}"/>
                </c:ext>
              </c:extLst>
            </c:dLbl>
            <c:dLbl>
              <c:idx val="2"/>
              <c:layout>
                <c:manualLayout>
                  <c:x val="-8.9747014607467257E-2"/>
                  <c:y val="-6.7863194023823945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58A-4EA7-A835-EC4FC0FFF24A}"/>
                </c:ext>
              </c:extLst>
            </c:dLbl>
            <c:dLbl>
              <c:idx val="3"/>
              <c:layout>
                <c:manualLayout>
                  <c:x val="-2.7138008272526142E-2"/>
                  <c:y val="-0.1100569351907935"/>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58A-4EA7-A835-EC4FC0FFF24A}"/>
                </c:ext>
              </c:extLst>
            </c:dLbl>
            <c:dLbl>
              <c:idx val="4"/>
              <c:layout>
                <c:manualLayout>
                  <c:x val="2.7777823583570251E-2"/>
                  <c:y val="-0.12699438724005654"/>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58A-4EA7-A835-EC4FC0FFF24A}"/>
                </c:ext>
              </c:extLst>
            </c:dLbl>
            <c:dLbl>
              <c:idx val="5"/>
              <c:layout>
                <c:manualLayout>
                  <c:x val="0.30257410232097953"/>
                  <c:y val="-0.26851863517060365"/>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58A-4EA7-A835-EC4FC0FFF24A}"/>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'Marzo de 2024'!$A$46:$A$51</c:f>
              <c:numCache>
                <c:formatCode>0.00%</c:formatCode>
                <c:ptCount val="6"/>
                <c:pt idx="0">
                  <c:v>0</c:v>
                </c:pt>
                <c:pt idx="1">
                  <c:v>0.2</c:v>
                </c:pt>
                <c:pt idx="2">
                  <c:v>0.4</c:v>
                </c:pt>
                <c:pt idx="3">
                  <c:v>0.6</c:v>
                </c:pt>
                <c:pt idx="4">
                  <c:v>0.8</c:v>
                </c:pt>
                <c:pt idx="5">
                  <c:v>1</c:v>
                </c:pt>
              </c:numCache>
            </c:numRef>
          </c:cat>
          <c:val>
            <c:numRef>
              <c:f>'Marzo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A58A-4EA7-A835-EC4FC0FFF24A}"/>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'Marzo de 2024'!$A$53</c:f>
              <c:strCache>
                <c:ptCount val="1"/>
                <c:pt idx="0">
                  <c:v>Grados1</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'Marzo de 2024'!$B$56:$B$57</c:f>
              <c:numCache>
                <c:formatCode>0.0000</c:formatCode>
                <c:ptCount val="2"/>
                <c:pt idx="0" formatCode="General">
                  <c:v>0</c:v>
                </c:pt>
                <c:pt idx="1">
                  <c:v>-0.71767859630928721</c:v>
                </c:pt>
              </c:numCache>
            </c:numRef>
          </c:xVal>
          <c:yVal>
            <c:numRef>
              <c:f>'Marzo de 2024'!$C$56:$C$57</c:f>
              <c:numCache>
                <c:formatCode>0.0000</c:formatCode>
                <c:ptCount val="2"/>
                <c:pt idx="0" formatCode="General">
                  <c:v>0</c:v>
                </c:pt>
                <c:pt idx="1">
                  <c:v>0.69637449149113095</c:v>
                </c:pt>
              </c:numCache>
            </c:numRef>
          </c:yVal>
          <c:smooth val="0"/>
          <c:extLst>
            <c:ext xmlns:c16="http://schemas.microsoft.com/office/drawing/2014/chart" uri="{C3380CC4-5D6E-409C-BE32-E72D297353CC}">
              <c16:uniqueId val="{00000007-A58A-4EA7-A835-EC4FC0FFF24A}"/>
            </c:ext>
          </c:extLst>
        </c:ser>
        <c:dLbls>
          <c:showLegendKey val="0"/>
          <c:showVal val="0"/>
          <c:showCatName val="0"/>
          <c:showSerName val="0"/>
          <c:showPercent val="0"/>
          <c:showBubbleSize val="0"/>
        </c:dLbls>
        <c:axId val="487275280"/>
        <c:axId val="487273320"/>
      </c:scatterChart>
      <c:valAx>
        <c:axId val="487275280"/>
        <c:scaling>
          <c:orientation val="minMax"/>
          <c:max val="1"/>
          <c:min val="-1"/>
        </c:scaling>
        <c:delete val="0"/>
        <c:axPos val="b"/>
        <c:numFmt formatCode="General" sourceLinked="1"/>
        <c:majorTickMark val="none"/>
        <c:minorTickMark val="none"/>
        <c:tickLblPos val="none"/>
        <c:spPr>
          <a:ln w="9525">
            <a:noFill/>
          </a:ln>
        </c:spPr>
        <c:crossAx val="487273320"/>
        <c:crossesAt val="0"/>
        <c:crossBetween val="midCat"/>
      </c:valAx>
      <c:valAx>
        <c:axId val="487273320"/>
        <c:scaling>
          <c:orientation val="minMax"/>
          <c:max val="1"/>
          <c:min val="-1"/>
        </c:scaling>
        <c:delete val="0"/>
        <c:axPos val="l"/>
        <c:numFmt formatCode="General" sourceLinked="1"/>
        <c:majorTickMark val="out"/>
        <c:minorTickMark val="none"/>
        <c:tickLblPos val="none"/>
        <c:spPr>
          <a:ln w="9525">
            <a:noFill/>
          </a:ln>
        </c:spPr>
        <c:crossAx val="487275280"/>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Pagos </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Enero-Marzo de 2024</a:t>
            </a:r>
          </a:p>
        </c:rich>
      </c:tx>
      <c:overlay val="0"/>
      <c:spPr>
        <a:noFill/>
        <a:ln w="25400">
          <a:noFill/>
        </a:ln>
      </c:spPr>
    </c:title>
    <c:autoTitleDeleted val="0"/>
    <c:plotArea>
      <c:layout>
        <c:manualLayout>
          <c:layoutTarget val="inner"/>
          <c:xMode val="edge"/>
          <c:yMode val="edge"/>
          <c:x val="0.29341331024721384"/>
          <c:y val="0.3273571011956839"/>
          <c:w val="0.493161836445837"/>
          <c:h val="0.64949475065616802"/>
        </c:manualLayout>
      </c:layout>
      <c:doughnutChart>
        <c:varyColors val="1"/>
        <c:ser>
          <c:idx val="0"/>
          <c:order val="0"/>
          <c:tx>
            <c:strRef>
              <c:f>'Marzo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8AC-488D-B350-59DE1A8E4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8AC-488D-B350-59DE1A8E4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8AC-488D-B350-59DE1A8E4D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8AC-488D-B350-59DE1A8E4D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8AC-488D-B350-59DE1A8E4DAA}"/>
              </c:ext>
            </c:extLst>
          </c:dPt>
          <c:dPt>
            <c:idx val="5"/>
            <c:bubble3D val="0"/>
            <c:spPr>
              <a:noFill/>
              <a:ln w="19050">
                <a:solidFill>
                  <a:schemeClr val="lt1"/>
                </a:solidFill>
              </a:ln>
              <a:effectLst/>
            </c:spPr>
            <c:extLst>
              <c:ext xmlns:c16="http://schemas.microsoft.com/office/drawing/2014/chart" uri="{C3380CC4-5D6E-409C-BE32-E72D297353CC}">
                <c16:uniqueId val="{00000005-48AC-488D-B350-59DE1A8E4DAA}"/>
              </c:ext>
            </c:extLst>
          </c:dPt>
          <c:dLbls>
            <c:dLbl>
              <c:idx val="0"/>
              <c:layout>
                <c:manualLayout>
                  <c:x val="-7.6498055544104104E-2"/>
                  <c:y val="5.5555555555555552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48AC-488D-B350-59DE1A8E4DAA}"/>
                </c:ext>
              </c:extLst>
            </c:dLbl>
            <c:dLbl>
              <c:idx val="1"/>
              <c:layout>
                <c:manualLayout>
                  <c:x val="-0.12101523958719826"/>
                  <c:y val="0"/>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8AC-488D-B350-59DE1A8E4DAA}"/>
                </c:ext>
              </c:extLst>
            </c:dLbl>
            <c:dLbl>
              <c:idx val="2"/>
              <c:layout>
                <c:manualLayout>
                  <c:x val="-7.5785409022825032E-2"/>
                  <c:y val="-6.018518518518523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8AC-488D-B350-59DE1A8E4DAA}"/>
                </c:ext>
              </c:extLst>
            </c:dLbl>
            <c:dLbl>
              <c:idx val="3"/>
              <c:layout>
                <c:manualLayout>
                  <c:x val="-1.6666666666666767E-2"/>
                  <c:y val="-0.10185185185185185"/>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8AC-488D-B350-59DE1A8E4DAA}"/>
                </c:ext>
              </c:extLst>
            </c:dLbl>
            <c:dLbl>
              <c:idx val="4"/>
              <c:layout>
                <c:manualLayout>
                  <c:x val="2.7777777777777776E-2"/>
                  <c:y val="-0.10648148148148152"/>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8AC-488D-B350-59DE1A8E4DAA}"/>
                </c:ext>
              </c:extLst>
            </c:dLbl>
            <c:dLbl>
              <c:idx val="5"/>
              <c:layout>
                <c:manualLayout>
                  <c:x val="0.29559329952865826"/>
                  <c:y val="-0.29629629629629628"/>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8AC-488D-B350-59DE1A8E4DAA}"/>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'Marzo de 2024'!$A$46:$A$51</c:f>
              <c:numCache>
                <c:formatCode>0.00%</c:formatCode>
                <c:ptCount val="6"/>
                <c:pt idx="0">
                  <c:v>0</c:v>
                </c:pt>
                <c:pt idx="1">
                  <c:v>0.2</c:v>
                </c:pt>
                <c:pt idx="2">
                  <c:v>0.4</c:v>
                </c:pt>
                <c:pt idx="3">
                  <c:v>0.6</c:v>
                </c:pt>
                <c:pt idx="4">
                  <c:v>0.8</c:v>
                </c:pt>
                <c:pt idx="5">
                  <c:v>1</c:v>
                </c:pt>
              </c:numCache>
            </c:numRef>
          </c:cat>
          <c:val>
            <c:numRef>
              <c:f>'Marzo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48AC-488D-B350-59DE1A8E4DAA}"/>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'Marzo de 2024'!$A$70</c:f>
              <c:strCache>
                <c:ptCount val="1"/>
                <c:pt idx="0">
                  <c:v>Grados2</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'Marzo de 2024'!$B$73:$B$74</c:f>
              <c:numCache>
                <c:formatCode>0.0000</c:formatCode>
                <c:ptCount val="2"/>
                <c:pt idx="0" formatCode="General">
                  <c:v>0</c:v>
                </c:pt>
                <c:pt idx="1">
                  <c:v>0.2927939592828927</c:v>
                </c:pt>
              </c:numCache>
            </c:numRef>
          </c:xVal>
          <c:yVal>
            <c:numRef>
              <c:f>'Marzo de 2024'!$C$73:$C$74</c:f>
              <c:numCache>
                <c:formatCode>0.0000</c:formatCode>
                <c:ptCount val="2"/>
                <c:pt idx="0" formatCode="General">
                  <c:v>0</c:v>
                </c:pt>
                <c:pt idx="1">
                  <c:v>0.9561755578383333</c:v>
                </c:pt>
              </c:numCache>
            </c:numRef>
          </c:yVal>
          <c:smooth val="0"/>
          <c:extLst>
            <c:ext xmlns:c16="http://schemas.microsoft.com/office/drawing/2014/chart" uri="{C3380CC4-5D6E-409C-BE32-E72D297353CC}">
              <c16:uniqueId val="{00000007-48AC-488D-B350-59DE1A8E4DAA}"/>
            </c:ext>
          </c:extLst>
        </c:ser>
        <c:dLbls>
          <c:showLegendKey val="0"/>
          <c:showVal val="0"/>
          <c:showCatName val="0"/>
          <c:showSerName val="0"/>
          <c:showPercent val="0"/>
          <c:showBubbleSize val="0"/>
        </c:dLbls>
        <c:axId val="487277240"/>
        <c:axId val="487277632"/>
      </c:scatterChart>
      <c:valAx>
        <c:axId val="487277240"/>
        <c:scaling>
          <c:orientation val="minMax"/>
          <c:max val="1"/>
          <c:min val="-1"/>
        </c:scaling>
        <c:delete val="0"/>
        <c:axPos val="b"/>
        <c:numFmt formatCode="General" sourceLinked="1"/>
        <c:majorTickMark val="none"/>
        <c:minorTickMark val="none"/>
        <c:tickLblPos val="none"/>
        <c:spPr>
          <a:ln w="9525">
            <a:noFill/>
          </a:ln>
        </c:spPr>
        <c:crossAx val="487277632"/>
        <c:crossesAt val="0"/>
        <c:crossBetween val="midCat"/>
      </c:valAx>
      <c:valAx>
        <c:axId val="487277632"/>
        <c:scaling>
          <c:orientation val="minMax"/>
          <c:max val="1"/>
          <c:min val="-1"/>
        </c:scaling>
        <c:delete val="0"/>
        <c:axPos val="l"/>
        <c:numFmt formatCode="General" sourceLinked="1"/>
        <c:majorTickMark val="out"/>
        <c:minorTickMark val="none"/>
        <c:tickLblPos val="none"/>
        <c:spPr>
          <a:ln w="9525">
            <a:noFill/>
          </a:ln>
        </c:spPr>
        <c:crossAx val="487277240"/>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Ejecución física </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Enero-Marzo de 2024</a:t>
            </a:r>
          </a:p>
        </c:rich>
      </c:tx>
      <c:overlay val="0"/>
      <c:spPr>
        <a:noFill/>
        <a:ln w="25400">
          <a:noFill/>
        </a:ln>
      </c:spPr>
    </c:title>
    <c:autoTitleDeleted val="0"/>
    <c:plotArea>
      <c:layout>
        <c:manualLayout>
          <c:layoutTarget val="inner"/>
          <c:xMode val="edge"/>
          <c:yMode val="edge"/>
          <c:x val="0.2698078289811629"/>
          <c:y val="0.31003645377661132"/>
          <c:w val="0.49449212950257893"/>
          <c:h val="0.64043598716827066"/>
        </c:manualLayout>
      </c:layout>
      <c:doughnutChart>
        <c:varyColors val="1"/>
        <c:ser>
          <c:idx val="0"/>
          <c:order val="0"/>
          <c:tx>
            <c:strRef>
              <c:f>'Marzo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AFDE-4377-A95C-0A6D604F7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FDE-4377-A95C-0A6D604F7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FDE-4377-A95C-0A6D604F7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FDE-4377-A95C-0A6D604F7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FDE-4377-A95C-0A6D604F7D22}"/>
              </c:ext>
            </c:extLst>
          </c:dPt>
          <c:dPt>
            <c:idx val="5"/>
            <c:bubble3D val="0"/>
            <c:spPr>
              <a:noFill/>
              <a:ln w="19050">
                <a:solidFill>
                  <a:schemeClr val="lt1"/>
                </a:solidFill>
              </a:ln>
              <a:effectLst/>
            </c:spPr>
            <c:extLst>
              <c:ext xmlns:c16="http://schemas.microsoft.com/office/drawing/2014/chart" uri="{C3380CC4-5D6E-409C-BE32-E72D297353CC}">
                <c16:uniqueId val="{00000005-AFDE-4377-A95C-0A6D604F7D22}"/>
              </c:ext>
            </c:extLst>
          </c:dPt>
          <c:dLbls>
            <c:dLbl>
              <c:idx val="0"/>
              <c:layout>
                <c:manualLayout>
                  <c:x val="-8.0577850020758124E-2"/>
                  <c:y val="6.9444444444444448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FDE-4377-A95C-0A6D604F7D22}"/>
                </c:ext>
              </c:extLst>
            </c:dLbl>
            <c:dLbl>
              <c:idx val="1"/>
              <c:layout>
                <c:manualLayout>
                  <c:x val="-0.11828277497484396"/>
                  <c:y val="4.6296296296296294E-3"/>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FDE-4377-A95C-0A6D604F7D22}"/>
                </c:ext>
              </c:extLst>
            </c:dLbl>
            <c:dLbl>
              <c:idx val="2"/>
              <c:layout>
                <c:manualLayout>
                  <c:x val="-9.050487991950068E-2"/>
                  <c:y val="-6.4814814814814853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FDE-4377-A95C-0A6D604F7D22}"/>
                </c:ext>
              </c:extLst>
            </c:dLbl>
            <c:dLbl>
              <c:idx val="3"/>
              <c:layout>
                <c:manualLayout>
                  <c:x val="-2.3815977426414257E-2"/>
                  <c:y val="-0.11574074074074074"/>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FDE-4377-A95C-0A6D604F7D22}"/>
                </c:ext>
              </c:extLst>
            </c:dLbl>
            <c:dLbl>
              <c:idx val="4"/>
              <c:layout>
                <c:manualLayout>
                  <c:x val="3.1352515251947391E-2"/>
                  <c:y val="-0.1342592592592593"/>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FDE-4377-A95C-0A6D604F7D22}"/>
                </c:ext>
              </c:extLst>
            </c:dLbl>
            <c:dLbl>
              <c:idx val="5"/>
              <c:layout>
                <c:manualLayout>
                  <c:x val="0.29054963303849751"/>
                  <c:y val="-0.28240740740740738"/>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FDE-4377-A95C-0A6D604F7D22}"/>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'Marzo de 2024'!$A$46:$A$51</c:f>
              <c:numCache>
                <c:formatCode>0.00%</c:formatCode>
                <c:ptCount val="6"/>
                <c:pt idx="0">
                  <c:v>0</c:v>
                </c:pt>
                <c:pt idx="1">
                  <c:v>0.2</c:v>
                </c:pt>
                <c:pt idx="2">
                  <c:v>0.4</c:v>
                </c:pt>
                <c:pt idx="3">
                  <c:v>0.6</c:v>
                </c:pt>
                <c:pt idx="4">
                  <c:v>0.8</c:v>
                </c:pt>
                <c:pt idx="5">
                  <c:v>1</c:v>
                </c:pt>
              </c:numCache>
            </c:numRef>
          </c:cat>
          <c:val>
            <c:numRef>
              <c:f>'Marzo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AFDE-4377-A95C-0A6D604F7D22}"/>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'Marzo de 2024'!$G$58</c:f>
              <c:strCache>
                <c:ptCount val="1"/>
                <c:pt idx="0">
                  <c:v>0.211308823</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'Marzo de 2024'!$G$61:$G$62</c:f>
              <c:numCache>
                <c:formatCode>0.0000</c:formatCode>
                <c:ptCount val="2"/>
                <c:pt idx="0" formatCode="General">
                  <c:v>0</c:v>
                </c:pt>
                <c:pt idx="1">
                  <c:v>-0.9777572400078185</c:v>
                </c:pt>
              </c:numCache>
            </c:numRef>
          </c:xVal>
          <c:yVal>
            <c:numRef>
              <c:f>'Marzo de 2024'!$H$61:$H$62</c:f>
              <c:numCache>
                <c:formatCode>0.0000</c:formatCode>
                <c:ptCount val="2"/>
                <c:pt idx="0" formatCode="General">
                  <c:v>0</c:v>
                </c:pt>
                <c:pt idx="1">
                  <c:v>0.20973979024565959</c:v>
                </c:pt>
              </c:numCache>
            </c:numRef>
          </c:yVal>
          <c:smooth val="0"/>
          <c:extLst>
            <c:ext xmlns:c16="http://schemas.microsoft.com/office/drawing/2014/chart" uri="{C3380CC4-5D6E-409C-BE32-E72D297353CC}">
              <c16:uniqueId val="{00000007-AFDE-4377-A95C-0A6D604F7D22}"/>
            </c:ext>
          </c:extLst>
        </c:ser>
        <c:dLbls>
          <c:showLegendKey val="0"/>
          <c:showVal val="0"/>
          <c:showCatName val="0"/>
          <c:showSerName val="0"/>
          <c:showPercent val="0"/>
          <c:showBubbleSize val="0"/>
        </c:dLbls>
        <c:axId val="487275672"/>
        <c:axId val="487276848"/>
      </c:scatterChart>
      <c:valAx>
        <c:axId val="487275672"/>
        <c:scaling>
          <c:orientation val="minMax"/>
          <c:max val="1"/>
          <c:min val="-1"/>
        </c:scaling>
        <c:delete val="0"/>
        <c:axPos val="b"/>
        <c:numFmt formatCode="General" sourceLinked="1"/>
        <c:majorTickMark val="none"/>
        <c:minorTickMark val="none"/>
        <c:tickLblPos val="none"/>
        <c:spPr>
          <a:ln w="9525">
            <a:noFill/>
          </a:ln>
        </c:spPr>
        <c:crossAx val="487276848"/>
        <c:crossesAt val="0"/>
        <c:crossBetween val="midCat"/>
      </c:valAx>
      <c:valAx>
        <c:axId val="487276848"/>
        <c:scaling>
          <c:orientation val="minMax"/>
          <c:max val="1"/>
          <c:min val="-1"/>
        </c:scaling>
        <c:delete val="0"/>
        <c:axPos val="l"/>
        <c:numFmt formatCode="General" sourceLinked="1"/>
        <c:majorTickMark val="out"/>
        <c:minorTickMark val="none"/>
        <c:tickLblPos val="none"/>
        <c:spPr>
          <a:ln w="9525">
            <a:noFill/>
          </a:ln>
        </c:spPr>
        <c:crossAx val="487275672"/>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 Ejecución física de los proyectos, por organismo</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Enero-Marzo de 2024</a:t>
            </a:r>
          </a:p>
        </c:rich>
      </c:tx>
      <c:layout>
        <c:manualLayout>
          <c:xMode val="edge"/>
          <c:yMode val="edge"/>
          <c:x val="0.16144237877637696"/>
          <c:y val="2.7778166865101202E-2"/>
        </c:manualLayout>
      </c:layout>
      <c:overlay val="0"/>
      <c:spPr>
        <a:noFill/>
        <a:ln w="25400">
          <a:noFill/>
        </a:ln>
      </c:spPr>
    </c:title>
    <c:autoTitleDeleted val="0"/>
    <c:plotArea>
      <c:layout/>
      <c:barChart>
        <c:barDir val="bar"/>
        <c:grouping val="clustered"/>
        <c:varyColors val="0"/>
        <c:ser>
          <c:idx val="0"/>
          <c:order val="0"/>
          <c:spPr>
            <a:solidFill>
              <a:srgbClr val="4F81BD"/>
            </a:solidFill>
            <a:ln w="25400">
              <a:noFill/>
            </a:ln>
          </c:spPr>
          <c:invertIfNegative val="0"/>
          <c:dLbls>
            <c:spPr>
              <a:noFill/>
              <a:ln w="25400">
                <a:noFill/>
              </a:ln>
            </c:spPr>
            <c:txPr>
              <a:bodyPr wrap="square" lIns="38100" tIns="19050" rIns="38100" bIns="19050" anchor="ctr">
                <a:spAutoFit/>
              </a:bodyPr>
              <a:lstStyle/>
              <a:p>
                <a:pPr>
                  <a:defRPr sz="700" b="0" i="0" u="none" strike="noStrike" baseline="0">
                    <a:solidFill>
                      <a:srgbClr val="333333"/>
                    </a:solidFill>
                    <a:latin typeface="Arial Narrow"/>
                    <a:ea typeface="Arial Narrow"/>
                    <a:cs typeface="Arial Narrow"/>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'Marzo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'Marzo de 2024'!$E$10:$E$35</c:f>
              <c:numCache>
                <c:formatCode>0.0%</c:formatCode>
                <c:ptCount val="26"/>
                <c:pt idx="0">
                  <c:v>0.10957142857142857</c:v>
                </c:pt>
                <c:pt idx="1">
                  <c:v>0.1032</c:v>
                </c:pt>
                <c:pt idx="2">
                  <c:v>0.23</c:v>
                </c:pt>
                <c:pt idx="3">
                  <c:v>9.4899999999999998E-2</c:v>
                </c:pt>
                <c:pt idx="4">
                  <c:v>0.1467</c:v>
                </c:pt>
                <c:pt idx="5">
                  <c:v>7.3217241379310349E-2</c:v>
                </c:pt>
                <c:pt idx="6">
                  <c:v>9.5349154616535911E-2</c:v>
                </c:pt>
                <c:pt idx="7">
                  <c:v>0.15390909090909091</c:v>
                </c:pt>
                <c:pt idx="8">
                  <c:v>0</c:v>
                </c:pt>
                <c:pt idx="9">
                  <c:v>6.8065384615384611E-2</c:v>
                </c:pt>
                <c:pt idx="10">
                  <c:v>4.8228432173913045E-2</c:v>
                </c:pt>
                <c:pt idx="11">
                  <c:v>9.4558059051045418E-2</c:v>
                </c:pt>
                <c:pt idx="12">
                  <c:v>5.3396226415094353E-2</c:v>
                </c:pt>
                <c:pt idx="13">
                  <c:v>0.1617076923076923</c:v>
                </c:pt>
                <c:pt idx="14">
                  <c:v>1.7196296296296303E-2</c:v>
                </c:pt>
                <c:pt idx="15">
                  <c:v>4.8547008547008552E-3</c:v>
                </c:pt>
                <c:pt idx="16">
                  <c:v>0.17199999999999999</c:v>
                </c:pt>
                <c:pt idx="17">
                  <c:v>0.10524347187465999</c:v>
                </c:pt>
                <c:pt idx="18">
                  <c:v>1.2571428964568284E-2</c:v>
                </c:pt>
                <c:pt idx="19">
                  <c:v>9.1909090909090899E-2</c:v>
                </c:pt>
                <c:pt idx="20">
                  <c:v>0.12602857142857143</c:v>
                </c:pt>
                <c:pt idx="21">
                  <c:v>1.6804878048780485E-2</c:v>
                </c:pt>
                <c:pt idx="22">
                  <c:v>5.425E-2</c:v>
                </c:pt>
                <c:pt idx="23">
                  <c:v>0.16031297440233228</c:v>
                </c:pt>
                <c:pt idx="24">
                  <c:v>0</c:v>
                </c:pt>
                <c:pt idx="25">
                  <c:v>0.10024583333333333</c:v>
                </c:pt>
              </c:numCache>
            </c:numRef>
          </c:val>
          <c:extLst>
            <c:ext xmlns:c16="http://schemas.microsoft.com/office/drawing/2014/chart" uri="{C3380CC4-5D6E-409C-BE32-E72D297353CC}">
              <c16:uniqueId val="{00000000-7841-4534-AA9C-461E524271EF}"/>
            </c:ext>
          </c:extLst>
        </c:ser>
        <c:dLbls>
          <c:showLegendKey val="0"/>
          <c:showVal val="0"/>
          <c:showCatName val="0"/>
          <c:showSerName val="0"/>
          <c:showPercent val="0"/>
          <c:showBubbleSize val="0"/>
        </c:dLbls>
        <c:gapWidth val="182"/>
        <c:axId val="965482552"/>
        <c:axId val="965471968"/>
      </c:barChart>
      <c:catAx>
        <c:axId val="965482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600" b="0" i="0" u="none" strike="noStrike" baseline="0">
                <a:solidFill>
                  <a:srgbClr val="333333"/>
                </a:solidFill>
                <a:latin typeface="Arial Narrow"/>
                <a:ea typeface="Arial Narrow"/>
                <a:cs typeface="Arial Narrow"/>
              </a:defRPr>
            </a:pPr>
            <a:endParaRPr lang="es-CO"/>
          </a:p>
        </c:txPr>
        <c:crossAx val="965471968"/>
        <c:crosses val="autoZero"/>
        <c:auto val="1"/>
        <c:lblAlgn val="ctr"/>
        <c:lblOffset val="100"/>
        <c:tickLblSkip val="1"/>
        <c:noMultiLvlLbl val="0"/>
      </c:catAx>
      <c:valAx>
        <c:axId val="9654719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9525">
            <a:noFill/>
          </a:ln>
        </c:spPr>
        <c:txPr>
          <a:bodyPr rot="0" vert="horz"/>
          <a:lstStyle/>
          <a:p>
            <a:pPr>
              <a:defRPr sz="800" b="0" i="0" u="none" strike="noStrike" baseline="0">
                <a:solidFill>
                  <a:srgbClr val="333333"/>
                </a:solidFill>
                <a:latin typeface="Arial Narrow"/>
                <a:ea typeface="Arial Narrow"/>
                <a:cs typeface="Arial Narrow"/>
              </a:defRPr>
            </a:pPr>
            <a:endParaRPr lang="es-CO"/>
          </a:p>
        </c:txPr>
        <c:crossAx val="965482552"/>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400" b="1" i="0" u="none" strike="noStrike" baseline="0">
                <a:solidFill>
                  <a:srgbClr val="000000"/>
                </a:solidFill>
                <a:latin typeface="Calibri"/>
                <a:cs typeface="Calibri"/>
              </a:rPr>
              <a:t>Ejecución física y ejecución presupuestal de los proyectos</a:t>
            </a:r>
          </a:p>
          <a:p>
            <a:pPr>
              <a:defRPr sz="1000" b="0" i="0" u="none" strike="noStrike" baseline="0">
                <a:solidFill>
                  <a:srgbClr val="000000"/>
                </a:solidFill>
                <a:latin typeface="Calibri"/>
                <a:ea typeface="Calibri"/>
                <a:cs typeface="Calibri"/>
              </a:defRPr>
            </a:pPr>
            <a:r>
              <a:rPr lang="es-CO" sz="1400" b="1" i="0" u="none" strike="noStrike" baseline="0">
                <a:solidFill>
                  <a:srgbClr val="000000"/>
                </a:solidFill>
                <a:latin typeface="Calibri"/>
                <a:cs typeface="Calibri"/>
              </a:rPr>
              <a:t>Enero - Marzo de 2024</a:t>
            </a:r>
          </a:p>
        </c:rich>
      </c:tx>
      <c:overlay val="0"/>
    </c:title>
    <c:autoTitleDeleted val="0"/>
    <c:plotArea>
      <c:layout>
        <c:manualLayout>
          <c:layoutTarget val="inner"/>
          <c:xMode val="edge"/>
          <c:yMode val="edge"/>
          <c:x val="8.7583987381221931E-2"/>
          <c:y val="0.14167571114421509"/>
          <c:w val="0.88475883971692548"/>
          <c:h val="0.4724859899269348"/>
        </c:manualLayout>
      </c:layout>
      <c:barChart>
        <c:barDir val="col"/>
        <c:grouping val="clustered"/>
        <c:varyColors val="0"/>
        <c:ser>
          <c:idx val="0"/>
          <c:order val="0"/>
          <c:tx>
            <c:v>Ejecución física</c:v>
          </c:tx>
          <c:invertIfNegative val="0"/>
          <c:cat>
            <c:strRef>
              <c:f>'Marzo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'Marzo de 2024'!$E$10:$E$35</c:f>
              <c:numCache>
                <c:formatCode>0.0%</c:formatCode>
                <c:ptCount val="26"/>
                <c:pt idx="0">
                  <c:v>0.10957142857142857</c:v>
                </c:pt>
                <c:pt idx="1">
                  <c:v>0.1032</c:v>
                </c:pt>
                <c:pt idx="2">
                  <c:v>0.23</c:v>
                </c:pt>
                <c:pt idx="3">
                  <c:v>9.4899999999999998E-2</c:v>
                </c:pt>
                <c:pt idx="4">
                  <c:v>0.1467</c:v>
                </c:pt>
                <c:pt idx="5">
                  <c:v>7.3217241379310349E-2</c:v>
                </c:pt>
                <c:pt idx="6">
                  <c:v>9.5349154616535911E-2</c:v>
                </c:pt>
                <c:pt idx="7">
                  <c:v>0.15390909090909091</c:v>
                </c:pt>
                <c:pt idx="8">
                  <c:v>0</c:v>
                </c:pt>
                <c:pt idx="9">
                  <c:v>6.8065384615384611E-2</c:v>
                </c:pt>
                <c:pt idx="10">
                  <c:v>4.8228432173913045E-2</c:v>
                </c:pt>
                <c:pt idx="11">
                  <c:v>9.4558059051045418E-2</c:v>
                </c:pt>
                <c:pt idx="12">
                  <c:v>5.3396226415094353E-2</c:v>
                </c:pt>
                <c:pt idx="13">
                  <c:v>0.1617076923076923</c:v>
                </c:pt>
                <c:pt idx="14">
                  <c:v>1.7196296296296303E-2</c:v>
                </c:pt>
                <c:pt idx="15">
                  <c:v>4.8547008547008552E-3</c:v>
                </c:pt>
                <c:pt idx="16">
                  <c:v>0.17199999999999999</c:v>
                </c:pt>
                <c:pt idx="17">
                  <c:v>0.10524347187465999</c:v>
                </c:pt>
                <c:pt idx="18">
                  <c:v>1.2571428964568284E-2</c:v>
                </c:pt>
                <c:pt idx="19">
                  <c:v>9.1909090909090899E-2</c:v>
                </c:pt>
                <c:pt idx="20">
                  <c:v>0.12602857142857143</c:v>
                </c:pt>
                <c:pt idx="21">
                  <c:v>1.6804878048780485E-2</c:v>
                </c:pt>
                <c:pt idx="22">
                  <c:v>5.425E-2</c:v>
                </c:pt>
                <c:pt idx="23">
                  <c:v>0.16031297440233228</c:v>
                </c:pt>
                <c:pt idx="24">
                  <c:v>0</c:v>
                </c:pt>
                <c:pt idx="25">
                  <c:v>0.10024583333333333</c:v>
                </c:pt>
              </c:numCache>
            </c:numRef>
          </c:val>
          <c:extLst>
            <c:ext xmlns:c16="http://schemas.microsoft.com/office/drawing/2014/chart" uri="{C3380CC4-5D6E-409C-BE32-E72D297353CC}">
              <c16:uniqueId val="{00000000-414C-4B71-BE22-D351D8206078}"/>
            </c:ext>
          </c:extLst>
        </c:ser>
        <c:ser>
          <c:idx val="1"/>
          <c:order val="1"/>
          <c:tx>
            <c:v>Ejecución presupuestal</c:v>
          </c:tx>
          <c:invertIfNegative val="0"/>
          <c:cat>
            <c:strRef>
              <c:f>'Marzo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'Marzo de 2024'!$J$10:$J$36</c:f>
              <c:numCache>
                <c:formatCode>0.0%</c:formatCode>
                <c:ptCount val="27"/>
                <c:pt idx="0">
                  <c:v>0.34029263825008732</c:v>
                </c:pt>
                <c:pt idx="1">
                  <c:v>0.44437866666666664</c:v>
                </c:pt>
                <c:pt idx="2">
                  <c:v>0.103592</c:v>
                </c:pt>
                <c:pt idx="3">
                  <c:v>0.1387205</c:v>
                </c:pt>
                <c:pt idx="4">
                  <c:v>0.3435824282130116</c:v>
                </c:pt>
                <c:pt idx="5">
                  <c:v>0.17589732374532099</c:v>
                </c:pt>
                <c:pt idx="6">
                  <c:v>0.1910490022048798</c:v>
                </c:pt>
                <c:pt idx="7">
                  <c:v>0.37519230281818183</c:v>
                </c:pt>
                <c:pt idx="8">
                  <c:v>0</c:v>
                </c:pt>
                <c:pt idx="9">
                  <c:v>0.18476794516161665</c:v>
                </c:pt>
                <c:pt idx="10">
                  <c:v>0.37885957161805689</c:v>
                </c:pt>
                <c:pt idx="11">
                  <c:v>0.2383878921993112</c:v>
                </c:pt>
                <c:pt idx="12">
                  <c:v>0.33429145526631809</c:v>
                </c:pt>
                <c:pt idx="13">
                  <c:v>0.14023081451612904</c:v>
                </c:pt>
                <c:pt idx="14">
                  <c:v>8.3144161869043984E-2</c:v>
                </c:pt>
                <c:pt idx="15">
                  <c:v>2.7476300280296826E-2</c:v>
                </c:pt>
                <c:pt idx="16">
                  <c:v>3.8811215099617449E-2</c:v>
                </c:pt>
                <c:pt idx="17">
                  <c:v>9.5980686863879505E-2</c:v>
                </c:pt>
                <c:pt idx="18">
                  <c:v>0.13850224128901073</c:v>
                </c:pt>
                <c:pt idx="19">
                  <c:v>0.77164069553226533</c:v>
                </c:pt>
                <c:pt idx="20">
                  <c:v>0.20293359090909091</c:v>
                </c:pt>
                <c:pt idx="21">
                  <c:v>7.1758614094520251E-2</c:v>
                </c:pt>
                <c:pt idx="22">
                  <c:v>0.12224272388206814</c:v>
                </c:pt>
                <c:pt idx="23">
                  <c:v>0.25097018960274387</c:v>
                </c:pt>
                <c:pt idx="24">
                  <c:v>0</c:v>
                </c:pt>
                <c:pt idx="25">
                  <c:v>9.5052341388904116E-2</c:v>
                </c:pt>
                <c:pt idx="26">
                  <c:v>0.24138059189335381</c:v>
                </c:pt>
              </c:numCache>
            </c:numRef>
          </c:val>
          <c:extLst>
            <c:ext xmlns:c16="http://schemas.microsoft.com/office/drawing/2014/chart" uri="{C3380CC4-5D6E-409C-BE32-E72D297353CC}">
              <c16:uniqueId val="{00000001-414C-4B71-BE22-D351D8206078}"/>
            </c:ext>
          </c:extLst>
        </c:ser>
        <c:dLbls>
          <c:showLegendKey val="0"/>
          <c:showVal val="0"/>
          <c:showCatName val="0"/>
          <c:showSerName val="0"/>
          <c:showPercent val="0"/>
          <c:showBubbleSize val="0"/>
        </c:dLbls>
        <c:gapWidth val="150"/>
        <c:axId val="965473536"/>
        <c:axId val="965476672"/>
      </c:barChart>
      <c:catAx>
        <c:axId val="965473536"/>
        <c:scaling>
          <c:orientation val="minMax"/>
        </c:scaling>
        <c:delete val="0"/>
        <c:axPos val="b"/>
        <c:numFmt formatCode="General" sourceLinked="1"/>
        <c:majorTickMark val="none"/>
        <c:minorTickMark val="none"/>
        <c:tickLblPos val="nextTo"/>
        <c:txPr>
          <a:bodyPr rot="-2700000" vert="horz"/>
          <a:lstStyle/>
          <a:p>
            <a:pPr>
              <a:defRPr sz="700" b="0" i="0" u="none" strike="noStrike" baseline="0">
                <a:solidFill>
                  <a:srgbClr val="000000"/>
                </a:solidFill>
                <a:latin typeface="Calibri"/>
                <a:ea typeface="Calibri"/>
                <a:cs typeface="Calibri"/>
              </a:defRPr>
            </a:pPr>
            <a:endParaRPr lang="es-CO"/>
          </a:p>
        </c:txPr>
        <c:crossAx val="965476672"/>
        <c:crosses val="autoZero"/>
        <c:auto val="1"/>
        <c:lblAlgn val="ctr"/>
        <c:lblOffset val="100"/>
        <c:noMultiLvlLbl val="0"/>
      </c:catAx>
      <c:valAx>
        <c:axId val="965476672"/>
        <c:scaling>
          <c:orientation val="minMax"/>
        </c:scaling>
        <c:delete val="0"/>
        <c:axPos val="l"/>
        <c:majorGridlines/>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965473536"/>
        <c:crosses val="autoZero"/>
        <c:crossBetween val="between"/>
      </c:valAx>
    </c:plotArea>
    <c:legend>
      <c:legendPos val="r"/>
      <c:layout>
        <c:manualLayout>
          <c:xMode val="edge"/>
          <c:yMode val="edge"/>
          <c:x val="0.74365758353239553"/>
          <c:y val="7.0920408597573953E-2"/>
          <c:w val="0.25634241646760447"/>
          <c:h val="0.14451762786408456"/>
        </c:manualLayout>
      </c:layout>
      <c:overlay val="0"/>
      <c:txPr>
        <a:bodyPr/>
        <a:lstStyle/>
        <a:p>
          <a:pPr>
            <a:defRPr sz="920" b="0" i="0" u="none" strike="noStrike" baseline="0">
              <a:solidFill>
                <a:srgbClr val="000000"/>
              </a:solidFill>
              <a:latin typeface="Calibri"/>
              <a:ea typeface="Calibri"/>
              <a:cs typeface="Calibri"/>
            </a:defRPr>
          </a:pPr>
          <a:endParaRPr lang="es-CO"/>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40005</xdr:colOff>
      <xdr:row>42</xdr:row>
      <xdr:rowOff>13335</xdr:rowOff>
    </xdr:from>
    <xdr:to>
      <xdr:col>4</xdr:col>
      <xdr:colOff>192405</xdr:colOff>
      <xdr:row>59</xdr:row>
      <xdr:rowOff>152400</xdr:rowOff>
    </xdr:to>
    <xdr:graphicFrame macro="">
      <xdr:nvGraphicFramePr>
        <xdr:cNvPr id="16274976" name="Gráfico 1">
          <a:extLst>
            <a:ext uri="{FF2B5EF4-FFF2-40B4-BE49-F238E27FC236}">
              <a16:creationId xmlns:a16="http://schemas.microsoft.com/office/drawing/2014/main" id="{00000000-0008-0000-0000-000020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60</xdr:row>
      <xdr:rowOff>9525</xdr:rowOff>
    </xdr:from>
    <xdr:to>
      <xdr:col>4</xdr:col>
      <xdr:colOff>152400</xdr:colOff>
      <xdr:row>77</xdr:row>
      <xdr:rowOff>95250</xdr:rowOff>
    </xdr:to>
    <xdr:graphicFrame macro="">
      <xdr:nvGraphicFramePr>
        <xdr:cNvPr id="16274977" name="Gráfico 2">
          <a:extLst>
            <a:ext uri="{FF2B5EF4-FFF2-40B4-BE49-F238E27FC236}">
              <a16:creationId xmlns:a16="http://schemas.microsoft.com/office/drawing/2014/main" id="{00000000-0008-0000-0000-000021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60</xdr:row>
      <xdr:rowOff>0</xdr:rowOff>
    </xdr:from>
    <xdr:to>
      <xdr:col>9</xdr:col>
      <xdr:colOff>361950</xdr:colOff>
      <xdr:row>78</xdr:row>
      <xdr:rowOff>0</xdr:rowOff>
    </xdr:to>
    <xdr:graphicFrame macro="">
      <xdr:nvGraphicFramePr>
        <xdr:cNvPr id="16274978" name="Gráfico 3">
          <a:extLst>
            <a:ext uri="{FF2B5EF4-FFF2-40B4-BE49-F238E27FC236}">
              <a16:creationId xmlns:a16="http://schemas.microsoft.com/office/drawing/2014/main" id="{00000000-0008-0000-0000-000022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42</xdr:row>
      <xdr:rowOff>19050</xdr:rowOff>
    </xdr:from>
    <xdr:to>
      <xdr:col>9</xdr:col>
      <xdr:colOff>381000</xdr:colOff>
      <xdr:row>60</xdr:row>
      <xdr:rowOff>0</xdr:rowOff>
    </xdr:to>
    <xdr:graphicFrame macro="">
      <xdr:nvGraphicFramePr>
        <xdr:cNvPr id="16274979" name="Gráfico 1">
          <a:extLst>
            <a:ext uri="{FF2B5EF4-FFF2-40B4-BE49-F238E27FC236}">
              <a16:creationId xmlns:a16="http://schemas.microsoft.com/office/drawing/2014/main" id="{00000000-0008-0000-0000-000023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276225</xdr:colOff>
      <xdr:row>0</xdr:row>
      <xdr:rowOff>152400</xdr:rowOff>
    </xdr:from>
    <xdr:to>
      <xdr:col>23</xdr:col>
      <xdr:colOff>581025</xdr:colOff>
      <xdr:row>38</xdr:row>
      <xdr:rowOff>0</xdr:rowOff>
    </xdr:to>
    <xdr:graphicFrame macro="">
      <xdr:nvGraphicFramePr>
        <xdr:cNvPr id="16274980" name="5 Gráfico">
          <a:extLst>
            <a:ext uri="{FF2B5EF4-FFF2-40B4-BE49-F238E27FC236}">
              <a16:creationId xmlns:a16="http://schemas.microsoft.com/office/drawing/2014/main" id="{00000000-0008-0000-0000-000024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A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A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A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A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A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A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A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A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B00-00000C000000}"/>
            </a:ext>
          </a:extLst>
        </xdr:cNvPr>
        <xdr:cNvGrpSpPr>
          <a:grpSpLocks/>
        </xdr:cNvGrpSpPr>
      </xdr:nvGrpSpPr>
      <xdr:grpSpPr bwMode="auto">
        <a:xfrm>
          <a:off x="9525" y="0"/>
          <a:ext cx="26441400" cy="1264920"/>
          <a:chOff x="0" y="0"/>
          <a:chExt cx="14423" cy="1776"/>
        </a:xfrm>
      </xdr:grpSpPr>
      <xdr:sp macro="" textlink="">
        <xdr:nvSpPr>
          <xdr:cNvPr id="13" name="Rectangle 2">
            <a:extLst>
              <a:ext uri="{FF2B5EF4-FFF2-40B4-BE49-F238E27FC236}">
                <a16:creationId xmlns:a16="http://schemas.microsoft.com/office/drawing/2014/main" id="{00000000-0008-0000-0B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B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B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B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B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B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B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C00-00000C000000}"/>
            </a:ext>
          </a:extLst>
        </xdr:cNvPr>
        <xdr:cNvGrpSpPr>
          <a:grpSpLocks/>
        </xdr:cNvGrpSpPr>
      </xdr:nvGrpSpPr>
      <xdr:grpSpPr bwMode="auto">
        <a:xfrm>
          <a:off x="9525" y="0"/>
          <a:ext cx="26342340" cy="1264920"/>
          <a:chOff x="0" y="0"/>
          <a:chExt cx="14423" cy="1776"/>
        </a:xfrm>
      </xdr:grpSpPr>
      <xdr:sp macro="" textlink="">
        <xdr:nvSpPr>
          <xdr:cNvPr id="13" name="Rectangle 2">
            <a:extLst>
              <a:ext uri="{FF2B5EF4-FFF2-40B4-BE49-F238E27FC236}">
                <a16:creationId xmlns:a16="http://schemas.microsoft.com/office/drawing/2014/main" id="{00000000-0008-0000-0C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C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C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C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C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C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C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D00-00000C000000}"/>
            </a:ext>
          </a:extLst>
        </xdr:cNvPr>
        <xdr:cNvGrpSpPr>
          <a:grpSpLocks/>
        </xdr:cNvGrpSpPr>
      </xdr:nvGrpSpPr>
      <xdr:grpSpPr bwMode="auto">
        <a:xfrm>
          <a:off x="9525" y="0"/>
          <a:ext cx="26692860" cy="1264920"/>
          <a:chOff x="0" y="0"/>
          <a:chExt cx="14423" cy="1776"/>
        </a:xfrm>
      </xdr:grpSpPr>
      <xdr:sp macro="" textlink="">
        <xdr:nvSpPr>
          <xdr:cNvPr id="13" name="Rectangle 2">
            <a:extLst>
              <a:ext uri="{FF2B5EF4-FFF2-40B4-BE49-F238E27FC236}">
                <a16:creationId xmlns:a16="http://schemas.microsoft.com/office/drawing/2014/main" id="{00000000-0008-0000-0D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D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D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D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D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D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D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E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E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E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E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E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E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E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E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37" name="Group 1">
          <a:extLst>
            <a:ext uri="{FF2B5EF4-FFF2-40B4-BE49-F238E27FC236}">
              <a16:creationId xmlns:a16="http://schemas.microsoft.com/office/drawing/2014/main" id="{00000000-0008-0000-0F00-000025000000}"/>
            </a:ext>
          </a:extLst>
        </xdr:cNvPr>
        <xdr:cNvGrpSpPr>
          <a:grpSpLocks/>
        </xdr:cNvGrpSpPr>
      </xdr:nvGrpSpPr>
      <xdr:grpSpPr bwMode="auto">
        <a:xfrm>
          <a:off x="9525" y="0"/>
          <a:ext cx="26555700" cy="1264920"/>
          <a:chOff x="0" y="0"/>
          <a:chExt cx="14423" cy="1776"/>
        </a:xfrm>
      </xdr:grpSpPr>
      <xdr:sp macro="" textlink="">
        <xdr:nvSpPr>
          <xdr:cNvPr id="38" name="Rectangle 2">
            <a:extLst>
              <a:ext uri="{FF2B5EF4-FFF2-40B4-BE49-F238E27FC236}">
                <a16:creationId xmlns:a16="http://schemas.microsoft.com/office/drawing/2014/main" id="{00000000-0008-0000-0F00-000026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39" name="Text Box 3">
            <a:extLst>
              <a:ext uri="{FF2B5EF4-FFF2-40B4-BE49-F238E27FC236}">
                <a16:creationId xmlns:a16="http://schemas.microsoft.com/office/drawing/2014/main" id="{00000000-0008-0000-0F00-000027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40" name="Text Box 6">
            <a:extLst>
              <a:ext uri="{FF2B5EF4-FFF2-40B4-BE49-F238E27FC236}">
                <a16:creationId xmlns:a16="http://schemas.microsoft.com/office/drawing/2014/main" id="{00000000-0008-0000-0F00-000028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41" name="Text Box 7">
            <a:extLst>
              <a:ext uri="{FF2B5EF4-FFF2-40B4-BE49-F238E27FC236}">
                <a16:creationId xmlns:a16="http://schemas.microsoft.com/office/drawing/2014/main" id="{00000000-0008-0000-0F00-000029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42" name="Text Box 8">
            <a:extLst>
              <a:ext uri="{FF2B5EF4-FFF2-40B4-BE49-F238E27FC236}">
                <a16:creationId xmlns:a16="http://schemas.microsoft.com/office/drawing/2014/main" id="{00000000-0008-0000-0F00-00002A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43" name="Picture 250" descr="escudo">
          <a:extLst>
            <a:ext uri="{FF2B5EF4-FFF2-40B4-BE49-F238E27FC236}">
              <a16:creationId xmlns:a16="http://schemas.microsoft.com/office/drawing/2014/main" id="{00000000-0008-0000-0F00-00002B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44" name="Text Box 49">
          <a:extLst>
            <a:ext uri="{FF2B5EF4-FFF2-40B4-BE49-F238E27FC236}">
              <a16:creationId xmlns:a16="http://schemas.microsoft.com/office/drawing/2014/main" id="{00000000-0008-0000-0F00-00002C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0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0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0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0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0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0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0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0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1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1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1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1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1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1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1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1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2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2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2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2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2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2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2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2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3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3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3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3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3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3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3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3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6914982" name="Group 1">
          <a:extLst>
            <a:ext uri="{FF2B5EF4-FFF2-40B4-BE49-F238E27FC236}">
              <a16:creationId xmlns:a16="http://schemas.microsoft.com/office/drawing/2014/main" id="{00000000-0008-0000-0200-0000261A0201}"/>
            </a:ext>
          </a:extLst>
        </xdr:cNvPr>
        <xdr:cNvGrpSpPr>
          <a:grpSpLocks/>
        </xdr:cNvGrpSpPr>
      </xdr:nvGrpSpPr>
      <xdr:grpSpPr bwMode="auto">
        <a:xfrm>
          <a:off x="9525" y="0"/>
          <a:ext cx="26555700" cy="1264920"/>
          <a:chOff x="0" y="0"/>
          <a:chExt cx="14423" cy="1776"/>
        </a:xfrm>
      </xdr:grpSpPr>
      <xdr:sp macro="" textlink="">
        <xdr:nvSpPr>
          <xdr:cNvPr id="16914985" name="Rectangle 2">
            <a:extLst>
              <a:ext uri="{FF2B5EF4-FFF2-40B4-BE49-F238E27FC236}">
                <a16:creationId xmlns:a16="http://schemas.microsoft.com/office/drawing/2014/main" id="{00000000-0008-0000-0200-0000291A0201}"/>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2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4" name="Text Box 6">
            <a:extLst>
              <a:ext uri="{FF2B5EF4-FFF2-40B4-BE49-F238E27FC236}">
                <a16:creationId xmlns:a16="http://schemas.microsoft.com/office/drawing/2014/main" id="{00000000-0008-0000-0200-000018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5" name="Text Box 7">
            <a:extLst>
              <a:ext uri="{FF2B5EF4-FFF2-40B4-BE49-F238E27FC236}">
                <a16:creationId xmlns:a16="http://schemas.microsoft.com/office/drawing/2014/main" id="{00000000-0008-0000-0200-000019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6" name="Text Box 8">
            <a:extLst>
              <a:ext uri="{FF2B5EF4-FFF2-40B4-BE49-F238E27FC236}">
                <a16:creationId xmlns:a16="http://schemas.microsoft.com/office/drawing/2014/main" id="{00000000-0008-0000-0200-00001A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6914983" name="Picture 250" descr="escudo">
          <a:extLst>
            <a:ext uri="{FF2B5EF4-FFF2-40B4-BE49-F238E27FC236}">
              <a16:creationId xmlns:a16="http://schemas.microsoft.com/office/drawing/2014/main" id="{00000000-0008-0000-0200-0000271A0201}"/>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8" name="Text Box 49">
          <a:extLst>
            <a:ext uri="{FF2B5EF4-FFF2-40B4-BE49-F238E27FC236}">
              <a16:creationId xmlns:a16="http://schemas.microsoft.com/office/drawing/2014/main" id="{00000000-0008-0000-0200-00001C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4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4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4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4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4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4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4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4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5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5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5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5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5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5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5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5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6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6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6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6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6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6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6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6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39" name="Group 1">
          <a:extLst>
            <a:ext uri="{FF2B5EF4-FFF2-40B4-BE49-F238E27FC236}">
              <a16:creationId xmlns:a16="http://schemas.microsoft.com/office/drawing/2014/main" id="{00000000-0008-0000-1700-000027000000}"/>
            </a:ext>
          </a:extLst>
        </xdr:cNvPr>
        <xdr:cNvGrpSpPr>
          <a:grpSpLocks/>
        </xdr:cNvGrpSpPr>
      </xdr:nvGrpSpPr>
      <xdr:grpSpPr bwMode="auto">
        <a:xfrm>
          <a:off x="9525" y="0"/>
          <a:ext cx="26555700" cy="1264920"/>
          <a:chOff x="0" y="0"/>
          <a:chExt cx="14423" cy="1776"/>
        </a:xfrm>
      </xdr:grpSpPr>
      <xdr:sp macro="" textlink="">
        <xdr:nvSpPr>
          <xdr:cNvPr id="40" name="Rectangle 2">
            <a:extLst>
              <a:ext uri="{FF2B5EF4-FFF2-40B4-BE49-F238E27FC236}">
                <a16:creationId xmlns:a16="http://schemas.microsoft.com/office/drawing/2014/main" id="{00000000-0008-0000-1700-000028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41" name="Text Box 3">
            <a:extLst>
              <a:ext uri="{FF2B5EF4-FFF2-40B4-BE49-F238E27FC236}">
                <a16:creationId xmlns:a16="http://schemas.microsoft.com/office/drawing/2014/main" id="{00000000-0008-0000-1700-000029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42" name="Text Box 6">
            <a:extLst>
              <a:ext uri="{FF2B5EF4-FFF2-40B4-BE49-F238E27FC236}">
                <a16:creationId xmlns:a16="http://schemas.microsoft.com/office/drawing/2014/main" id="{00000000-0008-0000-1700-00002A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43" name="Text Box 7">
            <a:extLst>
              <a:ext uri="{FF2B5EF4-FFF2-40B4-BE49-F238E27FC236}">
                <a16:creationId xmlns:a16="http://schemas.microsoft.com/office/drawing/2014/main" id="{00000000-0008-0000-1700-00002B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44" name="Text Box 8">
            <a:extLst>
              <a:ext uri="{FF2B5EF4-FFF2-40B4-BE49-F238E27FC236}">
                <a16:creationId xmlns:a16="http://schemas.microsoft.com/office/drawing/2014/main" id="{00000000-0008-0000-1700-00002C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45" name="Picture 250" descr="escudo">
          <a:extLst>
            <a:ext uri="{FF2B5EF4-FFF2-40B4-BE49-F238E27FC236}">
              <a16:creationId xmlns:a16="http://schemas.microsoft.com/office/drawing/2014/main" id="{00000000-0008-0000-1700-00002D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46" name="Text Box 49">
          <a:extLst>
            <a:ext uri="{FF2B5EF4-FFF2-40B4-BE49-F238E27FC236}">
              <a16:creationId xmlns:a16="http://schemas.microsoft.com/office/drawing/2014/main" id="{00000000-0008-0000-1700-00002E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8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8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8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8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8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8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8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8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9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19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9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9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9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9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9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9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A00-00000C000000}"/>
            </a:ext>
          </a:extLst>
        </xdr:cNvPr>
        <xdr:cNvGrpSpPr>
          <a:grpSpLocks/>
        </xdr:cNvGrpSpPr>
      </xdr:nvGrpSpPr>
      <xdr:grpSpPr bwMode="auto">
        <a:xfrm>
          <a:off x="9525" y="0"/>
          <a:ext cx="26677620" cy="1264920"/>
          <a:chOff x="0" y="0"/>
          <a:chExt cx="14423" cy="1776"/>
        </a:xfrm>
      </xdr:grpSpPr>
      <xdr:sp macro="" textlink="">
        <xdr:nvSpPr>
          <xdr:cNvPr id="13" name="Rectangle 2">
            <a:extLst>
              <a:ext uri="{FF2B5EF4-FFF2-40B4-BE49-F238E27FC236}">
                <a16:creationId xmlns:a16="http://schemas.microsoft.com/office/drawing/2014/main" id="{00000000-0008-0000-1A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1A00-00000E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15" name="Text Box 6">
            <a:extLst>
              <a:ext uri="{FF2B5EF4-FFF2-40B4-BE49-F238E27FC236}">
                <a16:creationId xmlns:a16="http://schemas.microsoft.com/office/drawing/2014/main" id="{00000000-0008-0000-1A00-00000F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16" name="Text Box 7">
            <a:extLst>
              <a:ext uri="{FF2B5EF4-FFF2-40B4-BE49-F238E27FC236}">
                <a16:creationId xmlns:a16="http://schemas.microsoft.com/office/drawing/2014/main" id="{00000000-0008-0000-1A00-000010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17" name="Text Box 8">
            <a:extLst>
              <a:ext uri="{FF2B5EF4-FFF2-40B4-BE49-F238E27FC236}">
                <a16:creationId xmlns:a16="http://schemas.microsoft.com/office/drawing/2014/main" id="{00000000-0008-0000-1A00-000011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8" name="Picture 250" descr="escudo">
          <a:extLst>
            <a:ext uri="{FF2B5EF4-FFF2-40B4-BE49-F238E27FC236}">
              <a16:creationId xmlns:a16="http://schemas.microsoft.com/office/drawing/2014/main" id="{00000000-0008-0000-1A00-000012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19" name="Text Box 49">
          <a:extLst>
            <a:ext uri="{FF2B5EF4-FFF2-40B4-BE49-F238E27FC236}">
              <a16:creationId xmlns:a16="http://schemas.microsoft.com/office/drawing/2014/main" id="{00000000-0008-0000-1A00-000013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B00-00000C000000}"/>
            </a:ext>
          </a:extLst>
        </xdr:cNvPr>
        <xdr:cNvGrpSpPr>
          <a:grpSpLocks/>
        </xdr:cNvGrpSpPr>
      </xdr:nvGrpSpPr>
      <xdr:grpSpPr bwMode="auto">
        <a:xfrm>
          <a:off x="9525" y="0"/>
          <a:ext cx="26929080" cy="1264920"/>
          <a:chOff x="0" y="0"/>
          <a:chExt cx="14423" cy="1776"/>
        </a:xfrm>
      </xdr:grpSpPr>
      <xdr:sp macro="" textlink="">
        <xdr:nvSpPr>
          <xdr:cNvPr id="13" name="Rectangle 2">
            <a:extLst>
              <a:ext uri="{FF2B5EF4-FFF2-40B4-BE49-F238E27FC236}">
                <a16:creationId xmlns:a16="http://schemas.microsoft.com/office/drawing/2014/main" id="{00000000-0008-0000-1B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1B00-00000E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15" name="Text Box 6">
            <a:extLst>
              <a:ext uri="{FF2B5EF4-FFF2-40B4-BE49-F238E27FC236}">
                <a16:creationId xmlns:a16="http://schemas.microsoft.com/office/drawing/2014/main" id="{00000000-0008-0000-1B00-00000F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16" name="Text Box 7">
            <a:extLst>
              <a:ext uri="{FF2B5EF4-FFF2-40B4-BE49-F238E27FC236}">
                <a16:creationId xmlns:a16="http://schemas.microsoft.com/office/drawing/2014/main" id="{00000000-0008-0000-1B00-000010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17" name="Text Box 8">
            <a:extLst>
              <a:ext uri="{FF2B5EF4-FFF2-40B4-BE49-F238E27FC236}">
                <a16:creationId xmlns:a16="http://schemas.microsoft.com/office/drawing/2014/main" id="{00000000-0008-0000-1B00-000011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8" name="Picture 250" descr="escudo">
          <a:extLst>
            <a:ext uri="{FF2B5EF4-FFF2-40B4-BE49-F238E27FC236}">
              <a16:creationId xmlns:a16="http://schemas.microsoft.com/office/drawing/2014/main" id="{00000000-0008-0000-1B00-000012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19" name="Text Box 49">
          <a:extLst>
            <a:ext uri="{FF2B5EF4-FFF2-40B4-BE49-F238E27FC236}">
              <a16:creationId xmlns:a16="http://schemas.microsoft.com/office/drawing/2014/main" id="{00000000-0008-0000-1B00-000013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2" name="Group 1">
          <a:extLst>
            <a:ext uri="{FF2B5EF4-FFF2-40B4-BE49-F238E27FC236}">
              <a16:creationId xmlns:a16="http://schemas.microsoft.com/office/drawing/2014/main" id="{00000000-0008-0000-1C00-000002000000}"/>
            </a:ext>
          </a:extLst>
        </xdr:cNvPr>
        <xdr:cNvGrpSpPr>
          <a:grpSpLocks/>
        </xdr:cNvGrpSpPr>
      </xdr:nvGrpSpPr>
      <xdr:grpSpPr bwMode="auto">
        <a:xfrm>
          <a:off x="9525" y="0"/>
          <a:ext cx="26677620" cy="1264920"/>
          <a:chOff x="0" y="0"/>
          <a:chExt cx="14423" cy="1776"/>
        </a:xfrm>
      </xdr:grpSpPr>
      <xdr:sp macro="" textlink="">
        <xdr:nvSpPr>
          <xdr:cNvPr id="3" name="Rectangle 2">
            <a:extLst>
              <a:ext uri="{FF2B5EF4-FFF2-40B4-BE49-F238E27FC236}">
                <a16:creationId xmlns:a16="http://schemas.microsoft.com/office/drawing/2014/main" id="{00000000-0008-0000-1C00-000003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4" name="Text Box 3">
            <a:extLst>
              <a:ext uri="{FF2B5EF4-FFF2-40B4-BE49-F238E27FC236}">
                <a16:creationId xmlns:a16="http://schemas.microsoft.com/office/drawing/2014/main" id="{00000000-0008-0000-1C00-00000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5" name="Text Box 6">
            <a:extLst>
              <a:ext uri="{FF2B5EF4-FFF2-40B4-BE49-F238E27FC236}">
                <a16:creationId xmlns:a16="http://schemas.microsoft.com/office/drawing/2014/main" id="{00000000-0008-0000-1C00-000005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6" name="Text Box 7">
            <a:extLst>
              <a:ext uri="{FF2B5EF4-FFF2-40B4-BE49-F238E27FC236}">
                <a16:creationId xmlns:a16="http://schemas.microsoft.com/office/drawing/2014/main" id="{00000000-0008-0000-1C00-000006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7" name="Text Box 8">
            <a:extLst>
              <a:ext uri="{FF2B5EF4-FFF2-40B4-BE49-F238E27FC236}">
                <a16:creationId xmlns:a16="http://schemas.microsoft.com/office/drawing/2014/main" id="{00000000-0008-0000-1C00-000007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8" name="Picture 250" descr="escudo">
          <a:extLst>
            <a:ext uri="{FF2B5EF4-FFF2-40B4-BE49-F238E27FC236}">
              <a16:creationId xmlns:a16="http://schemas.microsoft.com/office/drawing/2014/main" id="{00000000-0008-0000-1C00-000008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9" name="Text Box 49">
          <a:extLst>
            <a:ext uri="{FF2B5EF4-FFF2-40B4-BE49-F238E27FC236}">
              <a16:creationId xmlns:a16="http://schemas.microsoft.com/office/drawing/2014/main" id="{00000000-0008-0000-1C00-000009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3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3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3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3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3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3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3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3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4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4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4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4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4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4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4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5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5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5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5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5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5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5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5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6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6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6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6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6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6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6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6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7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7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7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7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7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7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7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7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1</xdr:row>
      <xdr:rowOff>0</xdr:rowOff>
    </xdr:from>
    <xdr:to>
      <xdr:col>24</xdr:col>
      <xdr:colOff>1133475</xdr:colOff>
      <xdr:row>1</xdr:row>
      <xdr:rowOff>28575</xdr:rowOff>
    </xdr:to>
    <xdr:grpSp>
      <xdr:nvGrpSpPr>
        <xdr:cNvPr id="16812653" name="Group 1">
          <a:extLst>
            <a:ext uri="{FF2B5EF4-FFF2-40B4-BE49-F238E27FC236}">
              <a16:creationId xmlns:a16="http://schemas.microsoft.com/office/drawing/2014/main" id="{00000000-0008-0000-0800-00006D8A0001}"/>
            </a:ext>
          </a:extLst>
        </xdr:cNvPr>
        <xdr:cNvGrpSpPr>
          <a:grpSpLocks/>
        </xdr:cNvGrpSpPr>
      </xdr:nvGrpSpPr>
      <xdr:grpSpPr bwMode="auto">
        <a:xfrm>
          <a:off x="28575" y="1264920"/>
          <a:ext cx="26677620" cy="28575"/>
          <a:chOff x="0" y="0"/>
          <a:chExt cx="14423" cy="1776"/>
        </a:xfrm>
      </xdr:grpSpPr>
      <xdr:sp macro="" textlink="">
        <xdr:nvSpPr>
          <xdr:cNvPr id="16812656" name="Rectangle 2">
            <a:extLst>
              <a:ext uri="{FF2B5EF4-FFF2-40B4-BE49-F238E27FC236}">
                <a16:creationId xmlns:a16="http://schemas.microsoft.com/office/drawing/2014/main" id="{00000000-0008-0000-0800-0000708A0001}"/>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0800-00000E000000}"/>
              </a:ext>
            </a:extLst>
          </xdr:cNvPr>
          <xdr:cNvSpPr txBox="1">
            <a:spLocks noChangeArrowheads="1"/>
          </xdr:cNvSpPr>
        </xdr:nvSpPr>
        <xdr:spPr bwMode="auto">
          <a:xfrm>
            <a:off x="11004" y="0"/>
            <a:ext cx="3419" cy="588"/>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MEDE01.03.03.18.P01.F05 </a:t>
            </a:r>
            <a:endParaRPr lang="es-CO" sz="900">
              <a:effectLst/>
              <a:latin typeface="Arial" pitchFamily="34" charset="0"/>
              <a:cs typeface="Arial" pitchFamily="34" charset="0"/>
            </a:endParaRPr>
          </a:p>
        </xdr:txBody>
      </xdr:sp>
      <xdr:sp macro="" textlink="" fLocksText="0">
        <xdr:nvSpPr>
          <xdr:cNvPr id="15" name="Rectangle 4">
            <a:extLst>
              <a:ext uri="{FF2B5EF4-FFF2-40B4-BE49-F238E27FC236}">
                <a16:creationId xmlns:a16="http://schemas.microsoft.com/office/drawing/2014/main" id="{00000000-0008-0000-0800-00000F000000}"/>
              </a:ext>
            </a:extLst>
          </xdr:cNvPr>
          <xdr:cNvSpPr>
            <a:spLocks noChangeArrowheads="1"/>
          </xdr:cNvSpPr>
        </xdr:nvSpPr>
        <xdr:spPr bwMode="auto">
          <a:xfrm>
            <a:off x="12742" y="588"/>
            <a:ext cx="1681" cy="307"/>
          </a:xfrm>
          <a:prstGeom prst="rect">
            <a:avLst/>
          </a:prstGeom>
          <a:solidFill>
            <a:srgbClr val="FFFFFF"/>
          </a:solidFill>
          <a:ln w="9360">
            <a:solidFill>
              <a:srgbClr val="000000"/>
            </a:solidFill>
            <a:miter lim="800000"/>
            <a:headEnd/>
            <a:tailEnd/>
          </a:ln>
          <a:effectLst/>
        </xdr:spPr>
        <xdr:txBody>
          <a:bodyPr vertOverflow="clip" wrap="square" lIns="27360" tIns="22680" rIns="27360" bIns="0" anchor="ctr" upright="1"/>
          <a:lstStyle/>
          <a:p>
            <a:pPr algn="ctr" rtl="0">
              <a:defRPr sz="1000"/>
            </a:pPr>
            <a:r>
              <a:rPr lang="es-CO" sz="800" b="0" i="0" strike="noStrike">
                <a:solidFill>
                  <a:schemeClr val="tx1"/>
                </a:solidFill>
                <a:latin typeface="Arial"/>
                <a:cs typeface="Arial"/>
              </a:rPr>
              <a:t>9</a:t>
            </a:r>
          </a:p>
        </xdr:txBody>
      </xdr:sp>
      <xdr:sp macro="" textlink="" fLocksText="0">
        <xdr:nvSpPr>
          <xdr:cNvPr id="16" name="Rectangle 5">
            <a:extLst>
              <a:ext uri="{FF2B5EF4-FFF2-40B4-BE49-F238E27FC236}">
                <a16:creationId xmlns:a16="http://schemas.microsoft.com/office/drawing/2014/main" id="{00000000-0008-0000-0800-000010000000}"/>
              </a:ext>
            </a:extLst>
          </xdr:cNvPr>
          <xdr:cNvSpPr>
            <a:spLocks noChangeArrowheads="1"/>
          </xdr:cNvSpPr>
        </xdr:nvSpPr>
        <xdr:spPr bwMode="auto">
          <a:xfrm>
            <a:off x="11004" y="588"/>
            <a:ext cx="1755" cy="307"/>
          </a:xfrm>
          <a:prstGeom prst="rect">
            <a:avLst/>
          </a:prstGeom>
          <a:solidFill>
            <a:srgbClr val="FFFFFF"/>
          </a:solidFill>
          <a:ln w="9360">
            <a:solidFill>
              <a:srgbClr val="000000"/>
            </a:solidFill>
            <a:miter lim="800000"/>
            <a:headEnd/>
            <a:tailEnd/>
          </a:ln>
          <a:effectLst/>
        </xdr:spPr>
        <xdr:txBody>
          <a:bodyPr vertOverflow="clip" wrap="square" lIns="27360" tIns="22680" rIns="27360" bIns="0" anchor="ctr" upright="1"/>
          <a:lstStyle/>
          <a:p>
            <a:pPr algn="ctr" rtl="0">
              <a:defRPr sz="1000"/>
            </a:pPr>
            <a:r>
              <a:rPr lang="es-CO" sz="800" b="0" i="0" strike="noStrike">
                <a:solidFill>
                  <a:srgbClr val="000000"/>
                </a:solidFill>
                <a:latin typeface="Arial"/>
                <a:cs typeface="Arial"/>
              </a:rPr>
              <a:t>VERSIÓN</a:t>
            </a:r>
          </a:p>
        </xdr:txBody>
      </xdr:sp>
      <xdr:sp macro="" textlink="" fLocksText="0">
        <xdr:nvSpPr>
          <xdr:cNvPr id="17" name="Text Box 6">
            <a:extLst>
              <a:ext uri="{FF2B5EF4-FFF2-40B4-BE49-F238E27FC236}">
                <a16:creationId xmlns:a16="http://schemas.microsoft.com/office/drawing/2014/main" id="{00000000-0008-0000-0800-000011000000}"/>
              </a:ext>
            </a:extLst>
          </xdr:cNvPr>
          <xdr:cNvSpPr txBox="1">
            <a:spLocks noChangeArrowheads="1"/>
          </xdr:cNvSpPr>
        </xdr:nvSpPr>
        <xdr:spPr bwMode="auto">
          <a:xfrm>
            <a:off x="12758" y="895"/>
            <a:ext cx="1665"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09/jul/2020</a:t>
            </a:r>
            <a:endParaRPr lang="es-CO" sz="800">
              <a:solidFill>
                <a:schemeClr val="tx1"/>
              </a:solidFill>
              <a:latin typeface="Arial" pitchFamily="34" charset="0"/>
              <a:cs typeface="Arial" pitchFamily="34" charset="0"/>
            </a:endParaRPr>
          </a:p>
        </xdr:txBody>
      </xdr:sp>
      <xdr:sp macro="" textlink="" fLocksText="0">
        <xdr:nvSpPr>
          <xdr:cNvPr id="18" name="Text Box 7">
            <a:extLst>
              <a:ext uri="{FF2B5EF4-FFF2-40B4-BE49-F238E27FC236}">
                <a16:creationId xmlns:a16="http://schemas.microsoft.com/office/drawing/2014/main" id="{00000000-0008-0000-0800-000012000000}"/>
              </a:ext>
            </a:extLst>
          </xdr:cNvPr>
          <xdr:cNvSpPr txBox="1">
            <a:spLocks noChangeArrowheads="1"/>
          </xdr:cNvSpPr>
        </xdr:nvSpPr>
        <xdr:spPr bwMode="auto">
          <a:xfrm>
            <a:off x="11004" y="895"/>
            <a:ext cx="1755"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effectLst/>
                <a:latin typeface="Arial" panose="020B0604020202020204" pitchFamily="34" charset="0"/>
                <a:ea typeface="+mn-ea"/>
                <a:cs typeface="Arial" panose="020B0604020202020204" pitchFamily="34" charset="0"/>
              </a:rPr>
              <a:t>FECHA  DE ENTRADA</a:t>
            </a:r>
            <a:endParaRPr lang="en-US" sz="800">
              <a:effectLst/>
              <a:latin typeface="Arial" panose="020B0604020202020204" pitchFamily="34" charset="0"/>
              <a:cs typeface="Arial" panose="020B0604020202020204" pitchFamily="34" charset="0"/>
            </a:endParaRPr>
          </a:p>
          <a:p>
            <a:pPr algn="ctr"/>
            <a:r>
              <a:rPr lang="es-CO" sz="800" b="0" i="0">
                <a:effectLst/>
                <a:latin typeface="Arial" panose="020B0604020202020204" pitchFamily="34" charset="0"/>
                <a:ea typeface="+mn-ea"/>
                <a:cs typeface="Arial" panose="020B0604020202020204" pitchFamily="34" charset="0"/>
              </a:rPr>
              <a:t>EN VIGENCIA</a:t>
            </a:r>
            <a:endParaRPr lang="en-US" sz="800">
              <a:effectLst/>
              <a:latin typeface="Arial" panose="020B0604020202020204" pitchFamily="34" charset="0"/>
              <a:cs typeface="Arial" panose="020B0604020202020204" pitchFamily="34" charset="0"/>
            </a:endParaRPr>
          </a:p>
        </xdr:txBody>
      </xdr:sp>
      <xdr:sp macro="" textlink="" fLocksText="0">
        <xdr:nvSpPr>
          <xdr:cNvPr id="19" name="Text Box 8">
            <a:extLst>
              <a:ext uri="{FF2B5EF4-FFF2-40B4-BE49-F238E27FC236}">
                <a16:creationId xmlns:a16="http://schemas.microsoft.com/office/drawing/2014/main" id="{00000000-0008-0000-0800-000013000000}"/>
              </a:ext>
            </a:extLst>
          </xdr:cNvPr>
          <xdr:cNvSpPr txBox="1">
            <a:spLocks noChangeArrowheads="1"/>
          </xdr:cNvSpPr>
        </xdr:nvSpPr>
        <xdr:spPr bwMode="auto">
          <a:xfrm>
            <a:off x="1776" y="0"/>
            <a:ext cx="9228"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endParaRPr>
          </a:p>
          <a:p>
            <a:pPr algn="ctr" rtl="1"/>
            <a:r>
              <a:rPr lang="es-CO" sz="1000" b="0" i="0">
                <a:effectLst/>
                <a:latin typeface="Arial" panose="020B0604020202020204" pitchFamily="34" charset="0"/>
                <a:ea typeface="+mn-ea"/>
                <a:cs typeface="Arial" panose="020B0604020202020204" pitchFamily="34" charset="0"/>
              </a:rPr>
              <a:t>SISTEMAS DE GESTIÓN Y CONTROL</a:t>
            </a:r>
            <a:r>
              <a:rPr lang="es-CO" sz="1000" b="0" i="0" baseline="0">
                <a:effectLst/>
                <a:latin typeface="Arial" panose="020B0604020202020204" pitchFamily="34" charset="0"/>
                <a:ea typeface="+mn-ea"/>
                <a:cs typeface="Arial" panose="020B0604020202020204" pitchFamily="34" charset="0"/>
              </a:rPr>
              <a:t> INTEGRADOS</a:t>
            </a:r>
            <a:endParaRPr lang="en-US" sz="1000">
              <a:effectLst/>
              <a:latin typeface="Arial" panose="020B0604020202020204" pitchFamily="34" charset="0"/>
              <a:cs typeface="Arial" panose="020B0604020202020204" pitchFamily="34" charset="0"/>
            </a:endParaRPr>
          </a:p>
          <a:p>
            <a:pPr algn="ctr"/>
            <a:r>
              <a:rPr lang="es-ES" sz="1000">
                <a:effectLst/>
                <a:latin typeface="Arial" pitchFamily="34" charset="0"/>
                <a:ea typeface="+mn-ea"/>
                <a:cs typeface="Arial" pitchFamily="34" charset="0"/>
              </a:rPr>
              <a:t>SGC - MECI - SISTEDA </a:t>
            </a:r>
          </a:p>
          <a:p>
            <a:pPr algn="ctr"/>
            <a:endParaRPr lang="es-CO" sz="1000">
              <a:effectLst/>
              <a:latin typeface="Arial" pitchFamily="34" charset="0"/>
              <a:cs typeface="Arial"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0</xdr:col>
      <xdr:colOff>9525</xdr:colOff>
      <xdr:row>0</xdr:row>
      <xdr:rowOff>0</xdr:rowOff>
    </xdr:from>
    <xdr:to>
      <xdr:col>24</xdr:col>
      <xdr:colOff>1151418</xdr:colOff>
      <xdr:row>1</xdr:row>
      <xdr:rowOff>15240</xdr:rowOff>
    </xdr:to>
    <xdr:grpSp>
      <xdr:nvGrpSpPr>
        <xdr:cNvPr id="12" name="Group 1">
          <a:extLst>
            <a:ext uri="{FF2B5EF4-FFF2-40B4-BE49-F238E27FC236}">
              <a16:creationId xmlns:a16="http://schemas.microsoft.com/office/drawing/2014/main" id="{00000000-0008-0000-0800-00000C000000}"/>
            </a:ext>
          </a:extLst>
        </xdr:cNvPr>
        <xdr:cNvGrpSpPr>
          <a:grpSpLocks/>
        </xdr:cNvGrpSpPr>
      </xdr:nvGrpSpPr>
      <xdr:grpSpPr bwMode="auto">
        <a:xfrm>
          <a:off x="9525" y="0"/>
          <a:ext cx="26714613" cy="1280160"/>
          <a:chOff x="0" y="0"/>
          <a:chExt cx="14443" cy="1776"/>
        </a:xfrm>
      </xdr:grpSpPr>
      <xdr:sp macro="" textlink="">
        <xdr:nvSpPr>
          <xdr:cNvPr id="13" name="Rectangle 2">
            <a:extLst>
              <a:ext uri="{FF2B5EF4-FFF2-40B4-BE49-F238E27FC236}">
                <a16:creationId xmlns:a16="http://schemas.microsoft.com/office/drawing/2014/main" id="{00000000-0008-0000-08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800-000014000000}"/>
              </a:ext>
            </a:extLst>
          </xdr:cNvPr>
          <xdr:cNvSpPr txBox="1">
            <a:spLocks noChangeArrowheads="1"/>
          </xdr:cNvSpPr>
        </xdr:nvSpPr>
        <xdr:spPr bwMode="auto">
          <a:xfrm>
            <a:off x="11004" y="0"/>
            <a:ext cx="3434"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800-000016000000}"/>
              </a:ext>
            </a:extLst>
          </xdr:cNvPr>
          <xdr:cNvSpPr txBox="1">
            <a:spLocks noChangeArrowheads="1"/>
          </xdr:cNvSpPr>
        </xdr:nvSpPr>
        <xdr:spPr bwMode="auto">
          <a:xfrm>
            <a:off x="12756" y="920"/>
            <a:ext cx="1687" cy="856"/>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8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8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p>
          <a:p>
            <a:pPr algn="ctr" rtl="0"/>
            <a:endParaRPr lang="es-CO" sz="1000">
              <a:effectLst/>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8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8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900-00000C000000}"/>
            </a:ext>
          </a:extLst>
        </xdr:cNvPr>
        <xdr:cNvGrpSpPr>
          <a:grpSpLocks/>
        </xdr:cNvGrpSpPr>
      </xdr:nvGrpSpPr>
      <xdr:grpSpPr bwMode="auto">
        <a:xfrm>
          <a:off x="9525" y="0"/>
          <a:ext cx="26555700" cy="1264920"/>
          <a:chOff x="0" y="0"/>
          <a:chExt cx="14423" cy="1776"/>
        </a:xfrm>
      </xdr:grpSpPr>
      <xdr:sp macro="" textlink="">
        <xdr:nvSpPr>
          <xdr:cNvPr id="13" name="Rectangle 2">
            <a:extLst>
              <a:ext uri="{FF2B5EF4-FFF2-40B4-BE49-F238E27FC236}">
                <a16:creationId xmlns:a16="http://schemas.microsoft.com/office/drawing/2014/main" id="{00000000-0008-0000-09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9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9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9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9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r>
              <a:rPr lang="es-ES" sz="1000">
                <a:effectLst/>
                <a:latin typeface="Arial" pitchFamily="34" charset="0"/>
                <a:ea typeface="+mn-ea"/>
                <a:cs typeface="Arial" pitchFamily="34" charset="0"/>
              </a:rPr>
              <a:t> </a:t>
            </a: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9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9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ALCALD&#205;A-SECRETARIA%20SEGURIDAD%20Y%20JUSTICIA\PLANEACI&#211;N\2024\3.%20Marzo\MATRIZ%20POAI%20Marzo%202024.XLSX" TargetMode="External"/><Relationship Id="rId1" Type="http://schemas.openxmlformats.org/officeDocument/2006/relationships/externalLinkPath" Target="file:///D:\ALCALD&#205;A-SECRETARIA%20SEGURIDAD%20Y%20JUSTICIA\PLANEACI&#211;N\2024\3.%20Marzo\MATRIZ%20POAI%20Marzo%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F"/>
      <sheetName val="1S"/>
      <sheetName val="POAI 2024"/>
      <sheetName val="Hoja1"/>
      <sheetName val="RESERVA 2023"/>
      <sheetName val="PROYECTOS"/>
    </sheetNames>
    <sheetDataSet>
      <sheetData sheetId="0"/>
      <sheetData sheetId="1"/>
      <sheetData sheetId="2"/>
      <sheetData sheetId="3">
        <row r="1">
          <cell r="A1" t="str">
            <v>Cod Producto</v>
          </cell>
          <cell r="B1" t="str">
            <v xml:space="preserve"> PPTO INICIAL </v>
          </cell>
          <cell r="C1" t="str">
            <v xml:space="preserve"> PPTO. MODIFICADO </v>
          </cell>
          <cell r="D1" t="str">
            <v xml:space="preserve"> TOTAL ACUMULADO RPC </v>
          </cell>
          <cell r="E1" t="str">
            <v xml:space="preserve"> PAGOS </v>
          </cell>
        </row>
        <row r="2">
          <cell r="A2" t="str">
            <v>BP2600284510101</v>
          </cell>
          <cell r="B2">
            <v>2930632000</v>
          </cell>
          <cell r="C2">
            <v>841886240</v>
          </cell>
          <cell r="D2">
            <v>585412500</v>
          </cell>
          <cell r="E2">
            <v>214847000</v>
          </cell>
        </row>
        <row r="3">
          <cell r="A3" t="str">
            <v>BP2600284510201</v>
          </cell>
          <cell r="B3">
            <v>230127900</v>
          </cell>
          <cell r="C3">
            <v>0</v>
          </cell>
          <cell r="D3">
            <v>0</v>
          </cell>
          <cell r="E3">
            <v>0</v>
          </cell>
        </row>
        <row r="4">
          <cell r="A4" t="str">
            <v>BP2600293310101</v>
          </cell>
          <cell r="B4">
            <v>313243000</v>
          </cell>
          <cell r="C4">
            <v>313243000</v>
          </cell>
          <cell r="D4">
            <v>0</v>
          </cell>
          <cell r="E4">
            <v>0</v>
          </cell>
        </row>
        <row r="5">
          <cell r="A5" t="str">
            <v>BP2600293310201</v>
          </cell>
          <cell r="B5">
            <v>168702255</v>
          </cell>
          <cell r="C5">
            <v>168702255</v>
          </cell>
          <cell r="D5">
            <v>0</v>
          </cell>
          <cell r="E5">
            <v>0</v>
          </cell>
        </row>
        <row r="6">
          <cell r="A6" t="str">
            <v>BP2600307610101</v>
          </cell>
          <cell r="B6">
            <v>495292000</v>
          </cell>
          <cell r="C6">
            <v>495292000</v>
          </cell>
          <cell r="D6">
            <v>317881500</v>
          </cell>
          <cell r="E6">
            <v>148319500</v>
          </cell>
        </row>
        <row r="7">
          <cell r="A7" t="str">
            <v>BP2600307610201</v>
          </cell>
          <cell r="B7">
            <v>517344620</v>
          </cell>
          <cell r="C7">
            <v>517344620</v>
          </cell>
          <cell r="D7">
            <v>167974500</v>
          </cell>
          <cell r="E7">
            <v>105623500</v>
          </cell>
        </row>
        <row r="8">
          <cell r="A8" t="str">
            <v>BP2600315710101</v>
          </cell>
          <cell r="B8">
            <v>300195000</v>
          </cell>
          <cell r="C8">
            <v>300195000</v>
          </cell>
          <cell r="D8">
            <v>200746500</v>
          </cell>
          <cell r="E8">
            <v>120685500</v>
          </cell>
        </row>
        <row r="9">
          <cell r="A9" t="str">
            <v>BP2600315710201</v>
          </cell>
          <cell r="B9">
            <v>358953000</v>
          </cell>
          <cell r="C9">
            <v>358953000</v>
          </cell>
          <cell r="D9">
            <v>231766500</v>
          </cell>
          <cell r="E9">
            <v>98149000</v>
          </cell>
        </row>
        <row r="10">
          <cell r="A10" t="str">
            <v>BP2600316210101</v>
          </cell>
          <cell r="B10">
            <v>230915000</v>
          </cell>
          <cell r="C10">
            <v>230915000</v>
          </cell>
          <cell r="D10">
            <v>42976000</v>
          </cell>
          <cell r="E10">
            <v>29653000</v>
          </cell>
        </row>
        <row r="11">
          <cell r="A11" t="str">
            <v>BP2600316310101</v>
          </cell>
          <cell r="B11">
            <v>1437426049</v>
          </cell>
          <cell r="C11">
            <v>1437426049</v>
          </cell>
          <cell r="D11">
            <v>264499000</v>
          </cell>
          <cell r="E11">
            <v>68837000</v>
          </cell>
        </row>
        <row r="12">
          <cell r="A12" t="str">
            <v>BP2600316310201</v>
          </cell>
          <cell r="B12">
            <v>336187976</v>
          </cell>
          <cell r="C12">
            <v>336187976</v>
          </cell>
          <cell r="D12">
            <v>0</v>
          </cell>
          <cell r="E12">
            <v>0</v>
          </cell>
        </row>
        <row r="13">
          <cell r="A13" t="str">
            <v>BP2600316410101</v>
          </cell>
          <cell r="B13">
            <v>21374732</v>
          </cell>
          <cell r="C13">
            <v>21374732</v>
          </cell>
          <cell r="D13">
            <v>0</v>
          </cell>
          <cell r="E13">
            <v>0</v>
          </cell>
        </row>
        <row r="14">
          <cell r="A14" t="str">
            <v>BP2600316410201</v>
          </cell>
          <cell r="B14">
            <v>539295268</v>
          </cell>
          <cell r="C14">
            <v>539295268</v>
          </cell>
          <cell r="D14">
            <v>0</v>
          </cell>
          <cell r="E14">
            <v>0</v>
          </cell>
        </row>
        <row r="15">
          <cell r="A15" t="str">
            <v>BP2600316610101</v>
          </cell>
          <cell r="B15">
            <v>1126997900</v>
          </cell>
          <cell r="C15">
            <v>1126997900</v>
          </cell>
          <cell r="D15">
            <v>59026000</v>
          </cell>
          <cell r="E15">
            <v>5366000</v>
          </cell>
        </row>
        <row r="16">
          <cell r="A16" t="str">
            <v>BP2600317710101</v>
          </cell>
          <cell r="B16">
            <v>169420000</v>
          </cell>
          <cell r="C16">
            <v>169420000</v>
          </cell>
          <cell r="D16">
            <v>0</v>
          </cell>
          <cell r="E16">
            <v>0</v>
          </cell>
        </row>
        <row r="17">
          <cell r="A17" t="str">
            <v>BP2600325510101</v>
          </cell>
          <cell r="B17">
            <v>2100000000</v>
          </cell>
          <cell r="C17">
            <v>2100000000</v>
          </cell>
          <cell r="D17">
            <v>0</v>
          </cell>
          <cell r="E17">
            <v>0</v>
          </cell>
        </row>
        <row r="18">
          <cell r="A18" t="str">
            <v>BP2600327510101</v>
          </cell>
          <cell r="B18">
            <v>346341842</v>
          </cell>
          <cell r="C18">
            <v>346341842</v>
          </cell>
          <cell r="D18">
            <v>50087842</v>
          </cell>
          <cell r="E18">
            <v>0</v>
          </cell>
        </row>
        <row r="19">
          <cell r="A19" t="str">
            <v>BP2600327510201</v>
          </cell>
          <cell r="B19">
            <v>25368832</v>
          </cell>
          <cell r="C19">
            <v>25368832</v>
          </cell>
          <cell r="D19">
            <v>0</v>
          </cell>
          <cell r="E19">
            <v>0</v>
          </cell>
        </row>
        <row r="20">
          <cell r="A20" t="str">
            <v>BP2600327810101</v>
          </cell>
          <cell r="B20">
            <v>5850284632</v>
          </cell>
          <cell r="C20">
            <v>5850284632</v>
          </cell>
          <cell r="D20">
            <v>0</v>
          </cell>
          <cell r="E20">
            <v>0</v>
          </cell>
        </row>
        <row r="21">
          <cell r="A21" t="str">
            <v>BP2600328210101</v>
          </cell>
          <cell r="B21">
            <v>429776880</v>
          </cell>
          <cell r="C21">
            <v>429776880</v>
          </cell>
          <cell r="D21">
            <v>0</v>
          </cell>
          <cell r="E21">
            <v>0</v>
          </cell>
        </row>
        <row r="22">
          <cell r="A22" t="str">
            <v>BP2600328810101</v>
          </cell>
          <cell r="B22">
            <v>738913100</v>
          </cell>
          <cell r="C22">
            <v>738913100</v>
          </cell>
          <cell r="D22">
            <v>0</v>
          </cell>
          <cell r="E22">
            <v>0</v>
          </cell>
        </row>
        <row r="23">
          <cell r="A23" t="str">
            <v>BP2600331410101</v>
          </cell>
          <cell r="B23">
            <v>404129352</v>
          </cell>
          <cell r="C23">
            <v>404129352</v>
          </cell>
          <cell r="D23">
            <v>108332000</v>
          </cell>
          <cell r="E23">
            <v>21875000</v>
          </cell>
        </row>
        <row r="24">
          <cell r="A24" t="str">
            <v>BP2600331710101</v>
          </cell>
          <cell r="B24">
            <v>838782430</v>
          </cell>
          <cell r="C24">
            <v>838782430</v>
          </cell>
          <cell r="D24">
            <v>0</v>
          </cell>
          <cell r="E24">
            <v>0</v>
          </cell>
        </row>
        <row r="25">
          <cell r="A25" t="str">
            <v>BP2600331810101</v>
          </cell>
          <cell r="B25">
            <v>1498365249</v>
          </cell>
          <cell r="C25">
            <v>1498365249</v>
          </cell>
          <cell r="D25">
            <v>86184000</v>
          </cell>
          <cell r="E25">
            <v>0</v>
          </cell>
        </row>
        <row r="26">
          <cell r="A26" t="str">
            <v>BP2600348310101</v>
          </cell>
          <cell r="B26">
            <v>209906889</v>
          </cell>
          <cell r="C26">
            <v>209906889</v>
          </cell>
          <cell r="D26">
            <v>0</v>
          </cell>
          <cell r="E26">
            <v>0</v>
          </cell>
        </row>
        <row r="27">
          <cell r="A27" t="str">
            <v>BP2600348310201</v>
          </cell>
          <cell r="B27">
            <v>86831611</v>
          </cell>
          <cell r="C27">
            <v>86831611</v>
          </cell>
          <cell r="D27">
            <v>0</v>
          </cell>
          <cell r="E27">
            <v>0</v>
          </cell>
        </row>
        <row r="28">
          <cell r="A28" t="str">
            <v>BP2600373610101</v>
          </cell>
          <cell r="B28">
            <v>586226320</v>
          </cell>
          <cell r="C28">
            <v>586226320</v>
          </cell>
          <cell r="D28">
            <v>0</v>
          </cell>
          <cell r="E28">
            <v>0</v>
          </cell>
        </row>
        <row r="29">
          <cell r="A29" t="str">
            <v>BP2600373610102</v>
          </cell>
          <cell r="B29">
            <v>184897462</v>
          </cell>
          <cell r="C29">
            <v>184897462</v>
          </cell>
          <cell r="D29">
            <v>0</v>
          </cell>
          <cell r="E29">
            <v>0</v>
          </cell>
        </row>
        <row r="30">
          <cell r="A30" t="str">
            <v>BP2600373810101</v>
          </cell>
          <cell r="B30">
            <v>11111947163</v>
          </cell>
          <cell r="C30">
            <v>10617257853</v>
          </cell>
          <cell r="D30">
            <v>0</v>
          </cell>
          <cell r="E30">
            <v>0</v>
          </cell>
        </row>
        <row r="31">
          <cell r="A31" t="str">
            <v>BP2600375310101</v>
          </cell>
          <cell r="B31">
            <v>26644694984</v>
          </cell>
          <cell r="C31">
            <v>26644694984</v>
          </cell>
          <cell r="D31">
            <v>0</v>
          </cell>
          <cell r="E31">
            <v>0</v>
          </cell>
        </row>
        <row r="32">
          <cell r="A32" t="str">
            <v>BP2600375610101</v>
          </cell>
          <cell r="B32">
            <v>2327781769</v>
          </cell>
          <cell r="C32">
            <v>2327781769</v>
          </cell>
          <cell r="D32">
            <v>0</v>
          </cell>
          <cell r="E32">
            <v>0</v>
          </cell>
        </row>
        <row r="33">
          <cell r="A33" t="str">
            <v>BP2600375610201</v>
          </cell>
          <cell r="B33">
            <v>96656751</v>
          </cell>
          <cell r="C33">
            <v>96656751</v>
          </cell>
          <cell r="D33">
            <v>0</v>
          </cell>
          <cell r="E33">
            <v>0</v>
          </cell>
        </row>
        <row r="34">
          <cell r="A34" t="str">
            <v>BP2600376210101</v>
          </cell>
          <cell r="B34">
            <v>300000000</v>
          </cell>
          <cell r="C34">
            <v>300000000</v>
          </cell>
          <cell r="D34">
            <v>0</v>
          </cell>
          <cell r="E34">
            <v>0</v>
          </cell>
        </row>
        <row r="35">
          <cell r="A35" t="str">
            <v>BP2600376310101</v>
          </cell>
          <cell r="B35">
            <v>870315507</v>
          </cell>
          <cell r="C35">
            <v>870315507</v>
          </cell>
          <cell r="D35">
            <v>167113000</v>
          </cell>
          <cell r="E35">
            <v>71760000</v>
          </cell>
        </row>
        <row r="36">
          <cell r="A36" t="str">
            <v>BP2600376410101</v>
          </cell>
          <cell r="B36">
            <v>395722875</v>
          </cell>
          <cell r="C36">
            <v>395722875</v>
          </cell>
          <cell r="D36">
            <v>61050000</v>
          </cell>
          <cell r="E36">
            <v>19010000</v>
          </cell>
        </row>
        <row r="37">
          <cell r="A37" t="str">
            <v>BP2600376510101</v>
          </cell>
          <cell r="B37">
            <v>521181914</v>
          </cell>
          <cell r="C37">
            <v>521181914</v>
          </cell>
          <cell r="D37">
            <v>0</v>
          </cell>
          <cell r="E37">
            <v>0</v>
          </cell>
        </row>
        <row r="38">
          <cell r="A38" t="str">
            <v>BP2600379010101</v>
          </cell>
          <cell r="B38">
            <v>500000000</v>
          </cell>
          <cell r="C38">
            <v>500000000</v>
          </cell>
          <cell r="D38">
            <v>0</v>
          </cell>
          <cell r="E38">
            <v>0</v>
          </cell>
        </row>
        <row r="39">
          <cell r="A39" t="str">
            <v>BP2600381210101</v>
          </cell>
          <cell r="B39">
            <v>8180087042</v>
          </cell>
          <cell r="C39">
            <v>8180087042</v>
          </cell>
          <cell r="D39">
            <v>1554897515</v>
          </cell>
          <cell r="E39">
            <v>320883000</v>
          </cell>
        </row>
        <row r="40">
          <cell r="A40" t="str">
            <v>BP2600383210101</v>
          </cell>
          <cell r="B40">
            <v>5443157648</v>
          </cell>
          <cell r="C40">
            <v>5443157648</v>
          </cell>
          <cell r="D40">
            <v>1438210500</v>
          </cell>
          <cell r="E40">
            <v>816356500</v>
          </cell>
        </row>
        <row r="41">
          <cell r="A41" t="str">
            <v>BP2600383210201</v>
          </cell>
          <cell r="B41">
            <v>315390886</v>
          </cell>
          <cell r="C41">
            <v>315390886</v>
          </cell>
          <cell r="D41">
            <v>0</v>
          </cell>
          <cell r="E41">
            <v>0</v>
          </cell>
        </row>
        <row r="42">
          <cell r="A42" t="str">
            <v>BP2600390310101</v>
          </cell>
          <cell r="B42">
            <v>3714814250</v>
          </cell>
          <cell r="C42">
            <v>3714814250</v>
          </cell>
          <cell r="D42">
            <v>684595000</v>
          </cell>
          <cell r="E42">
            <v>62720236</v>
          </cell>
        </row>
        <row r="43">
          <cell r="A43" t="str">
            <v>BP2600407610101</v>
          </cell>
          <cell r="B43">
            <v>962475477</v>
          </cell>
          <cell r="C43">
            <v>962475477</v>
          </cell>
          <cell r="D43">
            <v>0</v>
          </cell>
          <cell r="E43">
            <v>0</v>
          </cell>
        </row>
        <row r="44">
          <cell r="A44" t="str">
            <v>BP2600422110101</v>
          </cell>
          <cell r="B44">
            <v>1500000000</v>
          </cell>
          <cell r="C44">
            <v>1500000000</v>
          </cell>
          <cell r="D44">
            <v>0</v>
          </cell>
          <cell r="E44">
            <v>0</v>
          </cell>
        </row>
        <row r="45">
          <cell r="A45" t="str">
            <v>BP2600444210101</v>
          </cell>
          <cell r="B45">
            <v>4499002992</v>
          </cell>
          <cell r="C45">
            <v>4993692302</v>
          </cell>
          <cell r="D45">
            <v>2249977320</v>
          </cell>
          <cell r="E45">
            <v>0</v>
          </cell>
        </row>
        <row r="46">
          <cell r="A46" t="str">
            <v>BP2600444310101</v>
          </cell>
          <cell r="B46">
            <v>22000000</v>
          </cell>
          <cell r="C46">
            <v>22000000</v>
          </cell>
          <cell r="D46">
            <v>0</v>
          </cell>
          <cell r="E46">
            <v>0</v>
          </cell>
        </row>
        <row r="47">
          <cell r="A47" t="str">
            <v>BP2600449810101</v>
          </cell>
          <cell r="B47">
            <v>110816000</v>
          </cell>
          <cell r="C47">
            <v>110816000</v>
          </cell>
          <cell r="D47">
            <v>0</v>
          </cell>
          <cell r="E47">
            <v>0</v>
          </cell>
        </row>
        <row r="48">
          <cell r="A48" t="str">
            <v>BP2600498010101</v>
          </cell>
          <cell r="B48">
            <v>99739000</v>
          </cell>
          <cell r="C48">
            <v>99739000</v>
          </cell>
          <cell r="D48">
            <v>0</v>
          </cell>
          <cell r="E48">
            <v>0</v>
          </cell>
        </row>
        <row r="49">
          <cell r="A49" t="str">
            <v>BP2600498210101</v>
          </cell>
          <cell r="B49">
            <v>755417240</v>
          </cell>
          <cell r="C49">
            <v>755417240</v>
          </cell>
          <cell r="D49">
            <v>0</v>
          </cell>
          <cell r="E49">
            <v>0</v>
          </cell>
        </row>
        <row r="50">
          <cell r="A50" t="str">
            <v>BP2600498310101</v>
          </cell>
          <cell r="B50">
            <v>200456800</v>
          </cell>
          <cell r="C50">
            <v>200456800</v>
          </cell>
          <cell r="D50">
            <v>0</v>
          </cell>
          <cell r="E50">
            <v>0</v>
          </cell>
        </row>
        <row r="51">
          <cell r="A51" t="str">
            <v>BP2600508010101</v>
          </cell>
          <cell r="B51">
            <v>1089094000</v>
          </cell>
          <cell r="C51">
            <v>1089094000</v>
          </cell>
          <cell r="D51">
            <v>572612500</v>
          </cell>
          <cell r="E51">
            <v>351275500</v>
          </cell>
        </row>
        <row r="52">
          <cell r="A52" t="str">
            <v>BP2600509110101</v>
          </cell>
          <cell r="B52">
            <v>0</v>
          </cell>
          <cell r="C52">
            <v>2114807160</v>
          </cell>
          <cell r="D52">
            <v>0</v>
          </cell>
          <cell r="E52">
            <v>0</v>
          </cell>
        </row>
        <row r="53">
          <cell r="A53" t="str">
            <v>BP2600509110201</v>
          </cell>
          <cell r="B53">
            <v>0</v>
          </cell>
          <cell r="C53">
            <v>204066500</v>
          </cell>
          <cell r="D53">
            <v>0</v>
          </cell>
          <cell r="E53">
            <v>0</v>
          </cell>
        </row>
        <row r="54">
          <cell r="A54" t="str">
            <v>general</v>
          </cell>
          <cell r="B54">
            <v>92136683597</v>
          </cell>
          <cell r="C54">
            <v>92136683597</v>
          </cell>
          <cell r="D54">
            <v>8843342177</v>
          </cell>
          <cell r="E54">
            <v>2455360736</v>
          </cell>
        </row>
      </sheetData>
      <sheetData sheetId="4"/>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18.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7.xml"/><Relationship Id="rId1" Type="http://schemas.openxmlformats.org/officeDocument/2006/relationships/printerSettings" Target="../printerSettings/printerSettings27.bin"/><Relationship Id="rId4" Type="http://schemas.openxmlformats.org/officeDocument/2006/relationships/comments" Target="../comments19.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tabSelected="1" zoomScaleNormal="100" workbookViewId="0"/>
  </sheetViews>
  <sheetFormatPr baseColWidth="10" defaultColWidth="9.6640625" defaultRowHeight="13.2"/>
  <cols>
    <col min="1" max="1" width="5.6640625" style="6" customWidth="1"/>
    <col min="2" max="2" width="34.33203125" style="6" customWidth="1"/>
    <col min="3" max="3" width="4.5546875" style="6" customWidth="1"/>
    <col min="4" max="4" width="5.6640625" style="6" customWidth="1"/>
    <col min="5" max="5" width="8" style="6" customWidth="1"/>
    <col min="6" max="6" width="12.109375" style="6" customWidth="1"/>
    <col min="7" max="7" width="11.88671875" style="6" customWidth="1"/>
    <col min="8" max="9" width="12" style="6" bestFit="1" customWidth="1"/>
    <col min="10" max="10" width="7.109375" style="6" customWidth="1"/>
    <col min="11" max="11" width="6.109375" style="6" customWidth="1"/>
    <col min="12" max="12" width="4" style="6" customWidth="1"/>
    <col min="13" max="16384" width="9.6640625" style="6"/>
  </cols>
  <sheetData>
    <row r="1" spans="1:12" ht="13.8">
      <c r="A1" s="44" t="s">
        <v>104</v>
      </c>
      <c r="B1" s="5"/>
      <c r="C1" s="4"/>
      <c r="D1" s="4"/>
      <c r="E1" s="4"/>
      <c r="F1" s="5"/>
      <c r="G1" s="5"/>
      <c r="H1" s="5"/>
      <c r="I1" s="5"/>
      <c r="J1" s="5"/>
      <c r="K1" s="5"/>
    </row>
    <row r="2" spans="1:12" ht="13.8">
      <c r="A2" s="4" t="s">
        <v>18</v>
      </c>
      <c r="B2" s="5"/>
      <c r="C2" s="4"/>
      <c r="D2" s="4"/>
      <c r="E2" s="4"/>
      <c r="F2" s="5"/>
      <c r="G2" s="5"/>
      <c r="H2" s="5"/>
      <c r="I2" s="5"/>
      <c r="J2" s="5"/>
      <c r="K2" s="5"/>
    </row>
    <row r="3" spans="1:12" ht="5.25" customHeight="1">
      <c r="A3" s="4"/>
      <c r="B3" s="5"/>
      <c r="C3" s="4"/>
      <c r="D3" s="4"/>
      <c r="E3" s="4"/>
      <c r="F3" s="5"/>
      <c r="G3" s="5"/>
      <c r="H3" s="5"/>
      <c r="I3" s="5"/>
      <c r="J3" s="5"/>
      <c r="K3" s="5"/>
    </row>
    <row r="4" spans="1:12" ht="13.8">
      <c r="A4" s="5" t="s">
        <v>85</v>
      </c>
      <c r="B4" s="5"/>
      <c r="C4" s="4"/>
      <c r="D4" s="4"/>
      <c r="E4" s="4"/>
      <c r="F4" s="5"/>
      <c r="G4" s="5"/>
      <c r="H4" s="5"/>
      <c r="I4" s="5"/>
      <c r="J4" s="5"/>
      <c r="K4" s="5"/>
    </row>
    <row r="5" spans="1:12" ht="13.8">
      <c r="A5" s="7" t="s">
        <v>466</v>
      </c>
      <c r="B5" s="5"/>
      <c r="C5" s="4"/>
      <c r="D5" s="4"/>
      <c r="E5" s="4"/>
      <c r="F5" s="5"/>
      <c r="G5" s="5"/>
      <c r="H5" s="5"/>
      <c r="I5" s="5"/>
      <c r="J5" s="5"/>
      <c r="K5" s="5"/>
    </row>
    <row r="6" spans="1:12" ht="9" customHeight="1">
      <c r="A6" s="5"/>
      <c r="B6" s="4"/>
      <c r="C6" s="4"/>
      <c r="D6" s="4"/>
      <c r="E6" s="4"/>
      <c r="F6" s="5"/>
      <c r="G6" s="5"/>
      <c r="H6" s="5"/>
      <c r="I6" s="5"/>
      <c r="J6" s="5"/>
      <c r="K6" s="8" t="s">
        <v>58</v>
      </c>
    </row>
    <row r="7" spans="1:12" ht="18.75" customHeight="1">
      <c r="A7" s="2862" t="s">
        <v>34</v>
      </c>
      <c r="B7" s="2864" t="s">
        <v>84</v>
      </c>
      <c r="C7" s="2864" t="s">
        <v>50</v>
      </c>
      <c r="D7" s="2864"/>
      <c r="E7" s="2865" t="s">
        <v>51</v>
      </c>
      <c r="F7" s="2864" t="s">
        <v>65</v>
      </c>
      <c r="G7" s="2864"/>
      <c r="H7" s="2864"/>
      <c r="I7" s="2864"/>
      <c r="J7" s="2864"/>
      <c r="K7" s="2864"/>
    </row>
    <row r="8" spans="1:12" ht="27.6" customHeight="1">
      <c r="A8" s="2863"/>
      <c r="B8" s="2864"/>
      <c r="C8" s="23" t="s">
        <v>59</v>
      </c>
      <c r="D8" s="23" t="s">
        <v>60</v>
      </c>
      <c r="E8" s="2866"/>
      <c r="F8" s="1" t="s">
        <v>19</v>
      </c>
      <c r="G8" s="1" t="s">
        <v>20</v>
      </c>
      <c r="H8" s="1" t="s">
        <v>21</v>
      </c>
      <c r="I8" s="1" t="s">
        <v>52</v>
      </c>
      <c r="J8" s="1" t="s">
        <v>22</v>
      </c>
      <c r="K8" s="1" t="s">
        <v>53</v>
      </c>
    </row>
    <row r="9" spans="1:12" ht="7.5" customHeight="1">
      <c r="A9" s="5"/>
      <c r="B9" s="9"/>
      <c r="C9" s="9"/>
      <c r="D9" s="9"/>
      <c r="E9" s="9"/>
      <c r="F9" s="9"/>
      <c r="G9" s="9"/>
      <c r="H9" s="9"/>
      <c r="I9" s="9"/>
      <c r="J9" s="10"/>
      <c r="K9" s="5"/>
    </row>
    <row r="10" spans="1:12" ht="12" customHeight="1">
      <c r="A10" s="32">
        <v>4112</v>
      </c>
      <c r="B10" s="435" t="s">
        <v>109</v>
      </c>
      <c r="C10" s="138">
        <f>'4112 Gobierno'!C42</f>
        <v>7</v>
      </c>
      <c r="D10" s="138">
        <f>'4112 Gobierno'!C42-'4112 Gobierno'!G42</f>
        <v>7</v>
      </c>
      <c r="E10" s="139">
        <f>'4112 Gobierno'!O42</f>
        <v>0.10957142857142857</v>
      </c>
      <c r="F10" s="140">
        <v>10000000000</v>
      </c>
      <c r="G10" s="140">
        <v>15095976000</v>
      </c>
      <c r="H10" s="140">
        <v>5137049500</v>
      </c>
      <c r="I10" s="140">
        <v>564055500</v>
      </c>
      <c r="J10" s="139">
        <f t="shared" ref="J10:J36" si="0">H10/G10</f>
        <v>0.34029263825008732</v>
      </c>
      <c r="K10" s="141">
        <f t="shared" ref="K10:K36" si="1">IF(H10=0,0,I10/H10)</f>
        <v>0.10980145314932239</v>
      </c>
      <c r="L10" s="11"/>
    </row>
    <row r="11" spans="1:12" ht="12" customHeight="1">
      <c r="A11" s="32" t="s">
        <v>35</v>
      </c>
      <c r="B11" s="435" t="s">
        <v>82</v>
      </c>
      <c r="C11" s="138">
        <f>'4121 Juridica'!C23</f>
        <v>2</v>
      </c>
      <c r="D11" s="138">
        <f>'4121 Juridica'!C23-'4121 Juridica'!G23</f>
        <v>2</v>
      </c>
      <c r="E11" s="139">
        <f>'4121 Juridica'!O23</f>
        <v>0.1032</v>
      </c>
      <c r="F11" s="140">
        <v>1500000000</v>
      </c>
      <c r="G11" s="140">
        <v>1500000000</v>
      </c>
      <c r="H11" s="140">
        <v>666568000</v>
      </c>
      <c r="I11" s="140">
        <v>407586000</v>
      </c>
      <c r="J11" s="139">
        <f t="shared" si="0"/>
        <v>0.44437866666666664</v>
      </c>
      <c r="K11" s="141">
        <f t="shared" si="1"/>
        <v>0.61146949748562784</v>
      </c>
      <c r="L11" s="11"/>
    </row>
    <row r="12" spans="1:12" ht="12" customHeight="1">
      <c r="A12" s="33" t="s">
        <v>36</v>
      </c>
      <c r="B12" s="435" t="s">
        <v>99</v>
      </c>
      <c r="C12" s="138">
        <f>'4123 Control Interno'!C15</f>
        <v>1</v>
      </c>
      <c r="D12" s="138">
        <f>'4123 Control Interno'!C15-'4123 Control Interno'!G15</f>
        <v>1</v>
      </c>
      <c r="E12" s="139">
        <f>'4123 Control Interno'!O15</f>
        <v>0.23</v>
      </c>
      <c r="F12" s="140">
        <v>500000000</v>
      </c>
      <c r="G12" s="140">
        <v>500000000</v>
      </c>
      <c r="H12" s="140">
        <v>51796000</v>
      </c>
      <c r="I12" s="140">
        <v>35567000</v>
      </c>
      <c r="J12" s="139">
        <f t="shared" si="0"/>
        <v>0.103592</v>
      </c>
      <c r="K12" s="141">
        <f t="shared" si="1"/>
        <v>0.6866746466908642</v>
      </c>
      <c r="L12" s="11"/>
    </row>
    <row r="13" spans="1:12" ht="12" customHeight="1">
      <c r="A13" s="32" t="s">
        <v>37</v>
      </c>
      <c r="B13" s="435" t="s">
        <v>110</v>
      </c>
      <c r="C13" s="138">
        <f>'4124 D Control Disciplinario'!C23</f>
        <v>3</v>
      </c>
      <c r="D13" s="138">
        <f>'4124 D Control Disciplinario'!C23-'4124 D Control Disciplinario'!G23</f>
        <v>3</v>
      </c>
      <c r="E13" s="139">
        <f>'4124 D Control Disciplinario'!O23</f>
        <v>9.4899999999999998E-2</v>
      </c>
      <c r="F13" s="140">
        <v>1000000000</v>
      </c>
      <c r="G13" s="140">
        <v>1000000000</v>
      </c>
      <c r="H13" s="140">
        <v>138720500</v>
      </c>
      <c r="I13" s="140">
        <v>57500000</v>
      </c>
      <c r="J13" s="139">
        <f t="shared" si="0"/>
        <v>0.1387205</v>
      </c>
      <c r="K13" s="141">
        <f t="shared" si="1"/>
        <v>0.41450254288299132</v>
      </c>
      <c r="L13" s="11"/>
    </row>
    <row r="14" spans="1:12" ht="12" customHeight="1">
      <c r="A14" s="32" t="s">
        <v>38</v>
      </c>
      <c r="B14" s="435" t="s">
        <v>129</v>
      </c>
      <c r="C14" s="138">
        <f>'4131 Hacienda'!C51</f>
        <v>8</v>
      </c>
      <c r="D14" s="138">
        <f>'4131 Hacienda'!C51-'4131 Hacienda'!G51</f>
        <v>8</v>
      </c>
      <c r="E14" s="139">
        <f>'4131 Hacienda'!O51</f>
        <v>0.1467</v>
      </c>
      <c r="F14" s="140">
        <v>27192829865</v>
      </c>
      <c r="G14" s="140">
        <v>27192829865</v>
      </c>
      <c r="H14" s="140">
        <v>9342978515</v>
      </c>
      <c r="I14" s="140">
        <v>6245623989</v>
      </c>
      <c r="J14" s="139">
        <f t="shared" si="0"/>
        <v>0.3435824282130116</v>
      </c>
      <c r="K14" s="141">
        <f t="shared" si="1"/>
        <v>0.66848318006648011</v>
      </c>
      <c r="L14" s="11"/>
    </row>
    <row r="15" spans="1:12" ht="12" customHeight="1">
      <c r="A15" s="32" t="s">
        <v>39</v>
      </c>
      <c r="B15" s="435" t="s">
        <v>40</v>
      </c>
      <c r="C15" s="138">
        <f>'4132 Planeacion'!C140</f>
        <v>29</v>
      </c>
      <c r="D15" s="138">
        <f>'4132 Planeacion'!C140-'4132 Planeacion'!G140</f>
        <v>29</v>
      </c>
      <c r="E15" s="139">
        <f>'4132 Planeacion'!O140</f>
        <v>7.3217241379310349E-2</v>
      </c>
      <c r="F15" s="140">
        <v>25423593178</v>
      </c>
      <c r="G15" s="140">
        <v>25423593178</v>
      </c>
      <c r="H15" s="140">
        <v>4471942000</v>
      </c>
      <c r="I15" s="140">
        <v>1860036498</v>
      </c>
      <c r="J15" s="139">
        <f t="shared" si="0"/>
        <v>0.17589732374532099</v>
      </c>
      <c r="K15" s="141">
        <f t="shared" si="1"/>
        <v>0.41593484396711766</v>
      </c>
      <c r="L15" s="11"/>
    </row>
    <row r="16" spans="1:12" ht="12" customHeight="1">
      <c r="A16" s="32" t="s">
        <v>41</v>
      </c>
      <c r="B16" s="435" t="s">
        <v>111</v>
      </c>
      <c r="C16" s="138">
        <f>'4133 Dagma'!C180</f>
        <v>42</v>
      </c>
      <c r="D16" s="138">
        <f>'4133 Dagma'!C180-'4133 Dagma'!G180</f>
        <v>42</v>
      </c>
      <c r="E16" s="139">
        <f>'4133 Dagma'!O180</f>
        <v>9.5349154616535911E-2</v>
      </c>
      <c r="F16" s="140">
        <v>42926039107</v>
      </c>
      <c r="G16" s="140">
        <v>42926039107</v>
      </c>
      <c r="H16" s="140">
        <v>8200976940</v>
      </c>
      <c r="I16" s="140">
        <v>2663090935</v>
      </c>
      <c r="J16" s="139">
        <f t="shared" si="0"/>
        <v>0.1910490022048798</v>
      </c>
      <c r="K16" s="141">
        <f t="shared" si="1"/>
        <v>0.32472849935851666</v>
      </c>
      <c r="L16" s="11"/>
    </row>
    <row r="17" spans="1:12" ht="12" customHeight="1">
      <c r="A17" s="32">
        <v>4134</v>
      </c>
      <c r="B17" s="435" t="s">
        <v>80</v>
      </c>
      <c r="C17" s="138">
        <f>'4134 DATIC'!C50</f>
        <v>11</v>
      </c>
      <c r="D17" s="138">
        <f>'4134 DATIC'!C50-'4134 DATIC'!G50</f>
        <v>11</v>
      </c>
      <c r="E17" s="139">
        <f>'4134 DATIC'!O50</f>
        <v>0.15390909090909091</v>
      </c>
      <c r="F17" s="140">
        <v>11000000000</v>
      </c>
      <c r="G17" s="140">
        <v>11000000000</v>
      </c>
      <c r="H17" s="140">
        <v>4127115331</v>
      </c>
      <c r="I17" s="140">
        <v>1877685676</v>
      </c>
      <c r="J17" s="139">
        <f t="shared" si="0"/>
        <v>0.37519230281818183</v>
      </c>
      <c r="K17" s="141">
        <f t="shared" si="1"/>
        <v>0.45496321895735264</v>
      </c>
      <c r="L17" s="11"/>
    </row>
    <row r="18" spans="1:12" ht="12" customHeight="1">
      <c r="A18" s="32">
        <v>4135</v>
      </c>
      <c r="B18" s="435" t="s">
        <v>69</v>
      </c>
      <c r="C18" s="138">
        <f>'4135 Contratacion'!C17</f>
        <v>1</v>
      </c>
      <c r="D18" s="138">
        <f>'4135 Contratacion'!C17-'4135 Contratacion'!G17</f>
        <v>1</v>
      </c>
      <c r="E18" s="139">
        <f>'4135 Contratacion'!O17</f>
        <v>0</v>
      </c>
      <c r="F18" s="140">
        <v>1000000000</v>
      </c>
      <c r="G18" s="140">
        <v>1000000000</v>
      </c>
      <c r="H18" s="140">
        <v>0</v>
      </c>
      <c r="I18" s="140">
        <v>0</v>
      </c>
      <c r="J18" s="139">
        <f t="shared" si="0"/>
        <v>0</v>
      </c>
      <c r="K18" s="141">
        <f t="shared" si="1"/>
        <v>0</v>
      </c>
      <c r="L18" s="11"/>
    </row>
    <row r="19" spans="1:12" ht="12" customHeight="1">
      <c r="A19" s="32">
        <v>4137</v>
      </c>
      <c r="B19" s="2848" t="s">
        <v>92</v>
      </c>
      <c r="C19" s="138">
        <f>'4137 DADII'!C62</f>
        <v>13</v>
      </c>
      <c r="D19" s="138">
        <f>'4137 DADII'!C62-'4137 DADII'!G62</f>
        <v>13</v>
      </c>
      <c r="E19" s="164">
        <f>'4137 DADII'!O62</f>
        <v>6.8065384615384611E-2</v>
      </c>
      <c r="F19" s="140">
        <v>1817485526</v>
      </c>
      <c r="G19" s="140">
        <v>1817485526</v>
      </c>
      <c r="H19" s="140">
        <v>335813066</v>
      </c>
      <c r="I19" s="140">
        <v>135799500</v>
      </c>
      <c r="J19" s="139">
        <f t="shared" si="0"/>
        <v>0.18476794516161665</v>
      </c>
      <c r="K19" s="141">
        <f t="shared" si="1"/>
        <v>0.40439016151920665</v>
      </c>
      <c r="L19" s="11"/>
    </row>
    <row r="20" spans="1:12" ht="12" customHeight="1">
      <c r="A20" s="32" t="s">
        <v>42</v>
      </c>
      <c r="B20" s="435" t="s">
        <v>64</v>
      </c>
      <c r="C20" s="138">
        <f>'4143 Educacion'!C161</f>
        <v>46</v>
      </c>
      <c r="D20" s="138">
        <f>'4143 Educacion'!C161-'4143 Educacion'!G161</f>
        <v>46</v>
      </c>
      <c r="E20" s="139">
        <f>'4143 Educacion'!O161</f>
        <v>4.8228432173913045E-2</v>
      </c>
      <c r="F20" s="140">
        <v>1094649843906</v>
      </c>
      <c r="G20" s="140">
        <v>1094649843906</v>
      </c>
      <c r="H20" s="140">
        <v>414718570934</v>
      </c>
      <c r="I20" s="140">
        <v>166847858873</v>
      </c>
      <c r="J20" s="139">
        <f t="shared" si="0"/>
        <v>0.37885957161805689</v>
      </c>
      <c r="K20" s="141">
        <f t="shared" si="1"/>
        <v>0.40231586084326293</v>
      </c>
      <c r="L20" s="11"/>
    </row>
    <row r="21" spans="1:12" ht="12" customHeight="1">
      <c r="A21" s="32" t="s">
        <v>43</v>
      </c>
      <c r="B21" s="435" t="s">
        <v>128</v>
      </c>
      <c r="C21" s="138">
        <f>'4145 Salud'!C223</f>
        <v>38</v>
      </c>
      <c r="D21" s="138">
        <f>'4145 Salud'!C223-'4145 Salud'!G223</f>
        <v>38</v>
      </c>
      <c r="E21" s="139">
        <f>'4145 Salud'!O223</f>
        <v>9.4558059051045418E-2</v>
      </c>
      <c r="F21" s="140">
        <v>1375048175496</v>
      </c>
      <c r="G21" s="140">
        <v>1375048175496</v>
      </c>
      <c r="H21" s="140">
        <v>327794836229</v>
      </c>
      <c r="I21" s="140">
        <v>324290418038</v>
      </c>
      <c r="J21" s="139">
        <f t="shared" si="0"/>
        <v>0.2383878921993112</v>
      </c>
      <c r="K21" s="141">
        <f t="shared" si="1"/>
        <v>0.9893091110545994</v>
      </c>
      <c r="L21" s="11"/>
    </row>
    <row r="22" spans="1:12" ht="12" customHeight="1">
      <c r="A22" s="32" t="s">
        <v>44</v>
      </c>
      <c r="B22" s="435" t="s">
        <v>130</v>
      </c>
      <c r="C22" s="138">
        <f>'4146 Bienestar Social'!C224</f>
        <v>53</v>
      </c>
      <c r="D22" s="138">
        <f>'4146 Bienestar Social'!C224-'4146 Bienestar Social'!G224</f>
        <v>53</v>
      </c>
      <c r="E22" s="139">
        <f>'4146 Bienestar Social'!O224</f>
        <v>5.3396226415094353E-2</v>
      </c>
      <c r="F22" s="140">
        <v>134598808941</v>
      </c>
      <c r="G22" s="140">
        <v>134598808941</v>
      </c>
      <c r="H22" s="140">
        <v>44995231718</v>
      </c>
      <c r="I22" s="140">
        <v>2560394510</v>
      </c>
      <c r="J22" s="139">
        <f t="shared" si="0"/>
        <v>0.33429145526631809</v>
      </c>
      <c r="K22" s="141">
        <f t="shared" si="1"/>
        <v>5.6903685395973493E-2</v>
      </c>
      <c r="L22" s="11"/>
    </row>
    <row r="23" spans="1:12" ht="12" customHeight="1">
      <c r="A23" s="33" t="s">
        <v>45</v>
      </c>
      <c r="B23" s="435" t="s">
        <v>112</v>
      </c>
      <c r="C23" s="138">
        <f>'4147 Vivienda'!C70</f>
        <v>13</v>
      </c>
      <c r="D23" s="138">
        <f>'4147 Vivienda'!C70-'4147 Vivienda'!G70</f>
        <v>13</v>
      </c>
      <c r="E23" s="164">
        <f>'4147 Vivienda'!O70</f>
        <v>0.1617076923076923</v>
      </c>
      <c r="F23" s="140">
        <v>34200000000</v>
      </c>
      <c r="G23" s="140">
        <v>37200000000</v>
      </c>
      <c r="H23" s="140">
        <v>5216586300</v>
      </c>
      <c r="I23" s="140">
        <v>1078783000</v>
      </c>
      <c r="J23" s="139">
        <f t="shared" si="0"/>
        <v>0.14023081451612904</v>
      </c>
      <c r="K23" s="141">
        <f t="shared" si="1"/>
        <v>0.20679864914724022</v>
      </c>
      <c r="L23" s="11"/>
    </row>
    <row r="24" spans="1:12" ht="12" customHeight="1">
      <c r="A24" s="32" t="s">
        <v>46</v>
      </c>
      <c r="B24" s="435" t="s">
        <v>76</v>
      </c>
      <c r="C24" s="138">
        <f>'4148 Cultura'!C293</f>
        <v>81</v>
      </c>
      <c r="D24" s="138">
        <f>'4148 Cultura'!C293-'4148 Cultura'!G293</f>
        <v>81</v>
      </c>
      <c r="E24" s="139">
        <f>'4148 Cultura'!O293</f>
        <v>1.7196296296296303E-2</v>
      </c>
      <c r="F24" s="140">
        <v>73298514580</v>
      </c>
      <c r="G24" s="140">
        <v>73298514580</v>
      </c>
      <c r="H24" s="140">
        <v>6094343561</v>
      </c>
      <c r="I24" s="140">
        <v>2258981000</v>
      </c>
      <c r="J24" s="139">
        <f t="shared" si="0"/>
        <v>8.3144161869043984E-2</v>
      </c>
      <c r="K24" s="141">
        <f t="shared" si="1"/>
        <v>0.37066846944042836</v>
      </c>
      <c r="L24" s="11"/>
    </row>
    <row r="25" spans="1:12" ht="12" customHeight="1">
      <c r="A25" s="32" t="s">
        <v>47</v>
      </c>
      <c r="B25" s="2848" t="s">
        <v>131</v>
      </c>
      <c r="C25" s="138">
        <f>'4151 Infraestructura'!C86</f>
        <v>26</v>
      </c>
      <c r="D25" s="138">
        <f>'4151 Infraestructura'!C86-'4151 Infraestructura'!G86</f>
        <v>26</v>
      </c>
      <c r="E25" s="139">
        <f>'4151 Infraestructura'!O86</f>
        <v>4.8547008547008552E-3</v>
      </c>
      <c r="F25" s="140">
        <v>142992124396</v>
      </c>
      <c r="G25" s="140">
        <v>143770988441</v>
      </c>
      <c r="H25" s="140">
        <v>3950294850</v>
      </c>
      <c r="I25" s="140">
        <v>1283695500</v>
      </c>
      <c r="J25" s="139">
        <f t="shared" si="0"/>
        <v>2.7476300280296826E-2</v>
      </c>
      <c r="K25" s="141">
        <f t="shared" si="1"/>
        <v>0.32496194556211416</v>
      </c>
      <c r="L25" s="11"/>
    </row>
    <row r="26" spans="1:12" ht="12" customHeight="1">
      <c r="A26" s="32" t="s">
        <v>48</v>
      </c>
      <c r="B26" s="435" t="s">
        <v>77</v>
      </c>
      <c r="C26" s="138">
        <f>'4152 Movilidad'!C69</f>
        <v>15</v>
      </c>
      <c r="D26" s="138">
        <f>'4152 Movilidad'!C69-'4152 Movilidad'!G69</f>
        <v>15</v>
      </c>
      <c r="E26" s="139">
        <f>'4152 Movilidad'!O69</f>
        <v>0.17199999999999999</v>
      </c>
      <c r="F26" s="140">
        <v>181048302839</v>
      </c>
      <c r="G26" s="140">
        <v>210701746699</v>
      </c>
      <c r="H26" s="140">
        <v>8177590813</v>
      </c>
      <c r="I26" s="140">
        <v>4977824032</v>
      </c>
      <c r="J26" s="139">
        <f t="shared" si="0"/>
        <v>3.8811215099617449E-2</v>
      </c>
      <c r="K26" s="141">
        <f t="shared" si="1"/>
        <v>0.60871522503751374</v>
      </c>
      <c r="L26" s="11"/>
    </row>
    <row r="27" spans="1:12" ht="12" customHeight="1">
      <c r="A27" s="32" t="s">
        <v>49</v>
      </c>
      <c r="B27" s="2848" t="s">
        <v>105</v>
      </c>
      <c r="C27" s="138">
        <f>'4161 Seguridad y Justicia'!C151</f>
        <v>40</v>
      </c>
      <c r="D27" s="138">
        <f>'4161 Seguridad y Justicia'!C151-'4161 Seguridad y Justicia'!G151</f>
        <v>40</v>
      </c>
      <c r="E27" s="139">
        <f>'4161 Seguridad y Justicia'!O151</f>
        <v>0.10524347187465999</v>
      </c>
      <c r="F27" s="140">
        <v>92136683597</v>
      </c>
      <c r="G27" s="140">
        <v>92136683597</v>
      </c>
      <c r="H27" s="140">
        <v>8843342177</v>
      </c>
      <c r="I27" s="140">
        <v>2455360736</v>
      </c>
      <c r="J27" s="139">
        <f t="shared" si="0"/>
        <v>9.5980686863879505E-2</v>
      </c>
      <c r="K27" s="141">
        <f t="shared" si="1"/>
        <v>0.27765076674133088</v>
      </c>
      <c r="L27" s="11"/>
    </row>
    <row r="28" spans="1:12" ht="12" customHeight="1">
      <c r="A28" s="32">
        <v>4162</v>
      </c>
      <c r="B28" s="435" t="s">
        <v>63</v>
      </c>
      <c r="C28" s="138">
        <f>'4162 Deporte'!C151</f>
        <v>51</v>
      </c>
      <c r="D28" s="138">
        <f>'4162 Deporte'!C151-'4162 Deporte'!G151</f>
        <v>51</v>
      </c>
      <c r="E28" s="139">
        <f>'4162 Deporte'!O151</f>
        <v>1.2571428964568284E-2</v>
      </c>
      <c r="F28" s="140">
        <v>68046629056</v>
      </c>
      <c r="G28" s="140">
        <v>68533619165</v>
      </c>
      <c r="H28" s="140">
        <v>9492059858</v>
      </c>
      <c r="I28" s="140">
        <v>2538161749</v>
      </c>
      <c r="J28" s="139">
        <f t="shared" si="0"/>
        <v>0.13850224128901073</v>
      </c>
      <c r="K28" s="141">
        <f t="shared" si="1"/>
        <v>0.26739841372374118</v>
      </c>
      <c r="L28" s="11"/>
    </row>
    <row r="29" spans="1:12" ht="12" customHeight="1">
      <c r="A29" s="32">
        <v>4163</v>
      </c>
      <c r="B29" s="435" t="s">
        <v>97</v>
      </c>
      <c r="C29" s="138">
        <f>'4163 Riesgo'!C51</f>
        <v>11</v>
      </c>
      <c r="D29" s="138">
        <f>'4163 Riesgo'!C51-'4163 Riesgo'!G51</f>
        <v>11</v>
      </c>
      <c r="E29" s="139">
        <f>'4163 Riesgo'!O51</f>
        <v>9.1909090909090899E-2</v>
      </c>
      <c r="F29" s="140">
        <v>40338974050</v>
      </c>
      <c r="G29" s="140">
        <v>40338974050</v>
      </c>
      <c r="H29" s="140">
        <v>31127193993</v>
      </c>
      <c r="I29" s="140">
        <v>1248366012</v>
      </c>
      <c r="J29" s="139">
        <f t="shared" si="0"/>
        <v>0.77164069553226533</v>
      </c>
      <c r="K29" s="141">
        <f t="shared" si="1"/>
        <v>4.0105317950623408E-2</v>
      </c>
      <c r="L29" s="11"/>
    </row>
    <row r="30" spans="1:12" ht="12" customHeight="1">
      <c r="A30" s="35">
        <v>4164</v>
      </c>
      <c r="B30" s="435" t="s">
        <v>98</v>
      </c>
      <c r="C30" s="138">
        <f>'4164 Paz y CC'!C151</f>
        <v>28</v>
      </c>
      <c r="D30" s="138">
        <f>'4164 Paz y CC'!C151-'4164 Paz y CC'!G151</f>
        <v>27</v>
      </c>
      <c r="E30" s="139">
        <f>'4164 Paz y CC'!O151</f>
        <v>0.12602857142857143</v>
      </c>
      <c r="F30" s="140">
        <v>11000000000</v>
      </c>
      <c r="G30" s="140">
        <v>11000000000</v>
      </c>
      <c r="H30" s="140">
        <v>2232269500</v>
      </c>
      <c r="I30" s="140">
        <v>722910000</v>
      </c>
      <c r="J30" s="139">
        <f t="shared" si="0"/>
        <v>0.20293359090909091</v>
      </c>
      <c r="K30" s="141">
        <f t="shared" si="1"/>
        <v>0.32384530631270103</v>
      </c>
      <c r="L30" s="11"/>
    </row>
    <row r="31" spans="1:12" ht="12" customHeight="1">
      <c r="A31" s="35">
        <v>4171</v>
      </c>
      <c r="B31" s="435" t="s">
        <v>102</v>
      </c>
      <c r="C31" s="227">
        <f>'4171 Desarrollo Eco'!C151</f>
        <v>41</v>
      </c>
      <c r="D31" s="138">
        <f>'4171 Desarrollo Eco'!C151-'4171 Desarrollo Eco'!G151</f>
        <v>41</v>
      </c>
      <c r="E31" s="139">
        <f>'4171 Desarrollo Eco'!O151</f>
        <v>1.6804878048780485E-2</v>
      </c>
      <c r="F31" s="140">
        <v>37598070086</v>
      </c>
      <c r="G31" s="140">
        <v>37598070086</v>
      </c>
      <c r="H31" s="140">
        <v>2697985402</v>
      </c>
      <c r="I31" s="140">
        <v>1100471502</v>
      </c>
      <c r="J31" s="139">
        <f t="shared" si="0"/>
        <v>7.1758614094520251E-2</v>
      </c>
      <c r="K31" s="141">
        <f t="shared" si="1"/>
        <v>0.40788638114358483</v>
      </c>
      <c r="L31" s="11"/>
    </row>
    <row r="32" spans="1:12" ht="12" customHeight="1">
      <c r="A32" s="35">
        <v>4172</v>
      </c>
      <c r="B32" s="435" t="s">
        <v>74</v>
      </c>
      <c r="C32" s="138">
        <f>'4172 Turismo'!C46</f>
        <v>10</v>
      </c>
      <c r="D32" s="138">
        <f>'4172 Turismo'!C46-'4172 Turismo'!G46</f>
        <v>10</v>
      </c>
      <c r="E32" s="139">
        <f>'4172 Turismo'!O46</f>
        <v>5.425E-2</v>
      </c>
      <c r="F32" s="140">
        <v>12681900000</v>
      </c>
      <c r="G32" s="140">
        <v>12681900000</v>
      </c>
      <c r="H32" s="140">
        <v>1550270000</v>
      </c>
      <c r="I32" s="140">
        <v>651490000</v>
      </c>
      <c r="J32" s="139">
        <f t="shared" si="0"/>
        <v>0.12224272388206814</v>
      </c>
      <c r="K32" s="141">
        <f t="shared" si="1"/>
        <v>0.42024292542589353</v>
      </c>
      <c r="L32" s="11"/>
    </row>
    <row r="33" spans="1:12">
      <c r="A33" s="35">
        <v>4173</v>
      </c>
      <c r="B33" s="435" t="s">
        <v>101</v>
      </c>
      <c r="C33" s="138">
        <f>'4173 Desarrollo Territorial'!C55</f>
        <v>9</v>
      </c>
      <c r="D33" s="138">
        <f>'4173 Desarrollo Territorial'!C55-'4173 Desarrollo Territorial'!G55</f>
        <v>9</v>
      </c>
      <c r="E33" s="139">
        <f>'4173 Desarrollo Territorial'!O55</f>
        <v>0.16031297440233228</v>
      </c>
      <c r="F33" s="140">
        <v>13117917069</v>
      </c>
      <c r="G33" s="140">
        <v>13117917069</v>
      </c>
      <c r="H33" s="140">
        <v>3292206134</v>
      </c>
      <c r="I33" s="140">
        <v>1383705000</v>
      </c>
      <c r="J33" s="139">
        <f t="shared" si="0"/>
        <v>0.25097018960274387</v>
      </c>
      <c r="K33" s="141">
        <f t="shared" si="1"/>
        <v>0.42029719394235232</v>
      </c>
      <c r="L33" s="11"/>
    </row>
    <row r="34" spans="1:12" ht="12" customHeight="1">
      <c r="A34" s="35">
        <v>4181</v>
      </c>
      <c r="B34" s="435" t="s">
        <v>93</v>
      </c>
      <c r="C34" s="138">
        <f>'4181 Bienes y Servicios'!C27</f>
        <v>3</v>
      </c>
      <c r="D34" s="138">
        <f>'4181 Bienes y Servicios'!C27-'4181 Bienes y Servicios'!G27</f>
        <v>3</v>
      </c>
      <c r="E34" s="139">
        <f>'4181 Bienes y Servicios'!O27</f>
        <v>0</v>
      </c>
      <c r="F34" s="140">
        <v>4892151211</v>
      </c>
      <c r="G34" s="140">
        <v>3429043179</v>
      </c>
      <c r="H34" s="140">
        <v>0</v>
      </c>
      <c r="I34" s="140">
        <v>0</v>
      </c>
      <c r="J34" s="139">
        <f t="shared" si="0"/>
        <v>0</v>
      </c>
      <c r="K34" s="141">
        <f t="shared" si="1"/>
        <v>0</v>
      </c>
      <c r="L34" s="11"/>
    </row>
    <row r="35" spans="1:12" ht="12" customHeight="1">
      <c r="A35" s="35">
        <v>4182</v>
      </c>
      <c r="B35" s="435" t="s">
        <v>91</v>
      </c>
      <c r="C35" s="138">
        <f>'4182 Servicios Publicos'!C100</f>
        <v>24</v>
      </c>
      <c r="D35" s="138">
        <f>'4182 Servicios Publicos'!C100-'4182 Servicios Publicos'!G100</f>
        <v>24</v>
      </c>
      <c r="E35" s="139">
        <f>'4182 Servicios Publicos'!O100</f>
        <v>0.10024583333333333</v>
      </c>
      <c r="F35" s="140">
        <v>335710414796</v>
      </c>
      <c r="G35" s="140">
        <v>335710414796</v>
      </c>
      <c r="H35" s="140">
        <v>31910060955</v>
      </c>
      <c r="I35" s="140">
        <v>28840565095</v>
      </c>
      <c r="J35" s="139">
        <f>H35/G35</f>
        <v>9.5052341388904116E-2</v>
      </c>
      <c r="K35" s="141">
        <f>IF(H35=0,0,I35/H35)</f>
        <v>0.90380789731713007</v>
      </c>
      <c r="L35" s="11"/>
    </row>
    <row r="36" spans="1:12" ht="12" customHeight="1">
      <c r="A36" s="35">
        <v>4183</v>
      </c>
      <c r="B36" s="2848" t="s">
        <v>358</v>
      </c>
      <c r="C36" s="138">
        <f>'4181 Protección Animal'!C17</f>
        <v>1</v>
      </c>
      <c r="D36" s="138">
        <f>'4181 Protección Animal'!C17-'4181 Protección Animal'!G17</f>
        <v>1</v>
      </c>
      <c r="E36" s="139">
        <f>'4181 Protección Animal'!O17</f>
        <v>0.20516176470588232</v>
      </c>
      <c r="F36" s="140">
        <v>6352578747</v>
      </c>
      <c r="G36" s="140">
        <v>6352578747</v>
      </c>
      <c r="H36" s="140">
        <v>1533389218</v>
      </c>
      <c r="I36" s="140">
        <v>504610500</v>
      </c>
      <c r="J36" s="139">
        <f t="shared" si="0"/>
        <v>0.24138059189335381</v>
      </c>
      <c r="K36" s="141">
        <f t="shared" si="1"/>
        <v>0.32908181046046719</v>
      </c>
      <c r="L36" s="11"/>
    </row>
    <row r="37" spans="1:12" ht="7.5" customHeight="1">
      <c r="A37" s="24"/>
      <c r="B37" s="34"/>
      <c r="C37" s="36"/>
      <c r="D37" s="36"/>
      <c r="E37" s="37"/>
      <c r="F37" s="28"/>
      <c r="G37" s="28"/>
      <c r="H37" s="28"/>
      <c r="I37" s="28"/>
      <c r="J37" s="30"/>
      <c r="K37" s="38"/>
    </row>
    <row r="38" spans="1:12" ht="12.75" customHeight="1">
      <c r="A38" s="24"/>
      <c r="B38" s="34" t="s">
        <v>23</v>
      </c>
      <c r="C38" s="29">
        <f>SUM(C10:C36)</f>
        <v>607</v>
      </c>
      <c r="D38" s="29">
        <f>SUM(D10:D36)</f>
        <v>606</v>
      </c>
      <c r="E38" s="30">
        <f>(D10*E10+D11*E11+D12*E12+D13*E13+D14*E14+D15*E15+D16*E16+D17*E17+D18*E18+D19*E19+D20*E20+D21*E21+D22*E22+D23*E23+D24*E24+D25*E25+D26*E26+D27*E27+D28*E28+D29*E29+D30*E30+D31*E31+D32*E32+D33*E33+D34*E34+D35*E35+D36*E36)/D38</f>
        <v>6.7261687384709806E-2</v>
      </c>
      <c r="F38" s="29">
        <f>SUM(F10:F36)</f>
        <v>3780071036446</v>
      </c>
      <c r="G38" s="29">
        <f>SUM(G10:G36)</f>
        <v>3817623202428</v>
      </c>
      <c r="H38" s="29">
        <f>SUM(H10:H36)</f>
        <v>936099191494</v>
      </c>
      <c r="I38" s="29">
        <f>SUM(I10:I36)</f>
        <v>556590540645</v>
      </c>
      <c r="J38" s="30">
        <f>H38/G38</f>
        <v>0.24520471032831187</v>
      </c>
      <c r="K38" s="31">
        <f>I38/H38</f>
        <v>0.59458500306649131</v>
      </c>
    </row>
    <row r="39" spans="1:12" ht="8.25" customHeight="1">
      <c r="A39" s="12"/>
      <c r="B39" s="13"/>
      <c r="C39" s="13"/>
      <c r="D39" s="13"/>
      <c r="E39" s="13"/>
      <c r="F39" s="12"/>
      <c r="G39" s="12"/>
      <c r="H39" s="12"/>
      <c r="I39" s="12"/>
      <c r="J39" s="12"/>
      <c r="K39" s="12"/>
    </row>
    <row r="40" spans="1:12" ht="13.8">
      <c r="A40" s="39" t="s">
        <v>83</v>
      </c>
      <c r="B40" s="5"/>
      <c r="C40" s="5"/>
      <c r="D40" s="5"/>
      <c r="E40" s="5"/>
      <c r="F40" s="5"/>
      <c r="G40" s="5"/>
      <c r="H40" s="5"/>
      <c r="I40" s="5"/>
      <c r="J40" s="5"/>
      <c r="K40" s="5"/>
    </row>
    <row r="41" spans="1:12" ht="10.5" customHeight="1">
      <c r="A41" s="40"/>
      <c r="B41" s="5"/>
      <c r="C41" s="5"/>
      <c r="D41" s="5"/>
      <c r="E41" s="5"/>
      <c r="F41" s="29"/>
      <c r="G41" s="29"/>
      <c r="H41" s="29"/>
      <c r="I41" s="29"/>
      <c r="J41" s="5"/>
      <c r="K41" s="5"/>
    </row>
    <row r="42" spans="1:12" ht="13.8">
      <c r="A42" s="40"/>
      <c r="B42" s="5"/>
      <c r="C42" s="5"/>
      <c r="D42" s="5"/>
      <c r="E42" s="5"/>
      <c r="F42" s="5"/>
      <c r="G42" s="5"/>
      <c r="H42" s="5"/>
      <c r="I42" s="5"/>
      <c r="J42" s="5"/>
      <c r="K42" s="5"/>
    </row>
    <row r="43" spans="1:12">
      <c r="G43" s="14"/>
      <c r="H43" s="14"/>
      <c r="I43" s="14"/>
    </row>
    <row r="44" spans="1:12">
      <c r="A44" s="15" t="s">
        <v>24</v>
      </c>
      <c r="B44" s="11"/>
      <c r="C44" s="11"/>
      <c r="D44" s="11"/>
    </row>
    <row r="45" spans="1:12">
      <c r="A45" s="18" t="s">
        <v>25</v>
      </c>
      <c r="B45" s="19" t="s">
        <v>26</v>
      </c>
      <c r="C45" s="19"/>
      <c r="D45" s="19"/>
      <c r="E45" s="20"/>
      <c r="F45" s="20"/>
      <c r="G45" s="20"/>
      <c r="H45" s="20"/>
      <c r="I45" s="20"/>
      <c r="J45" s="20"/>
      <c r="K45" s="20"/>
    </row>
    <row r="46" spans="1:12">
      <c r="A46" s="21">
        <v>0</v>
      </c>
      <c r="B46" s="19">
        <v>0.2</v>
      </c>
      <c r="C46" s="19"/>
      <c r="D46" s="19"/>
      <c r="E46" s="20"/>
      <c r="F46" s="20"/>
      <c r="G46" s="20"/>
      <c r="H46" s="20"/>
      <c r="I46" s="20"/>
      <c r="J46" s="20"/>
      <c r="K46" s="20"/>
    </row>
    <row r="47" spans="1:12">
      <c r="A47" s="21">
        <v>0.2</v>
      </c>
      <c r="B47" s="19">
        <v>0.2</v>
      </c>
      <c r="C47" s="19"/>
      <c r="D47" s="19"/>
      <c r="E47" s="20"/>
      <c r="F47" s="20"/>
      <c r="G47" s="20"/>
      <c r="H47" s="20"/>
      <c r="I47" s="20"/>
      <c r="J47" s="20"/>
      <c r="K47" s="20"/>
    </row>
    <row r="48" spans="1:12">
      <c r="A48" s="21">
        <v>0.4</v>
      </c>
      <c r="B48" s="19">
        <v>0.2</v>
      </c>
      <c r="C48" s="19"/>
      <c r="D48" s="19"/>
      <c r="E48" s="20"/>
      <c r="F48" s="20"/>
      <c r="G48" s="20"/>
      <c r="H48" s="20"/>
      <c r="I48" s="20"/>
      <c r="J48" s="20"/>
      <c r="K48" s="20"/>
    </row>
    <row r="49" spans="1:11">
      <c r="A49" s="21">
        <v>0.6</v>
      </c>
      <c r="B49" s="19">
        <v>0.2</v>
      </c>
      <c r="C49" s="19"/>
      <c r="D49" s="19"/>
      <c r="E49" s="20"/>
      <c r="F49" s="20"/>
      <c r="G49" s="20"/>
      <c r="H49" s="20"/>
      <c r="I49" s="20"/>
      <c r="J49" s="20"/>
      <c r="K49" s="20"/>
    </row>
    <row r="50" spans="1:11">
      <c r="A50" s="21">
        <v>0.8</v>
      </c>
      <c r="B50" s="19">
        <v>0.2</v>
      </c>
      <c r="C50" s="19"/>
      <c r="D50" s="19"/>
      <c r="E50" s="20"/>
      <c r="F50" s="20"/>
      <c r="G50" s="20"/>
      <c r="H50" s="20"/>
      <c r="I50" s="20"/>
      <c r="J50" s="20"/>
      <c r="K50" s="20"/>
    </row>
    <row r="51" spans="1:11">
      <c r="A51" s="21">
        <v>1</v>
      </c>
      <c r="B51" s="19">
        <v>1</v>
      </c>
      <c r="C51" s="19"/>
      <c r="D51" s="19"/>
      <c r="E51" s="20"/>
      <c r="F51" s="20"/>
      <c r="G51" s="20"/>
      <c r="H51" s="20"/>
      <c r="I51" s="20"/>
      <c r="J51" s="20"/>
      <c r="K51" s="20"/>
    </row>
    <row r="52" spans="1:11">
      <c r="A52" s="19"/>
      <c r="B52" s="19"/>
      <c r="C52" s="19"/>
      <c r="D52" s="19"/>
      <c r="E52" s="20"/>
      <c r="F52" s="20"/>
      <c r="G52" s="20"/>
      <c r="H52" s="20"/>
      <c r="I52" s="20"/>
      <c r="J52" s="20"/>
      <c r="K52" s="20"/>
    </row>
    <row r="53" spans="1:11">
      <c r="A53" s="18" t="s">
        <v>27</v>
      </c>
      <c r="B53" s="19">
        <f>((J38-A46)/(A51-A46))*PI()</f>
        <v>0.77033331659303783</v>
      </c>
      <c r="C53" s="19"/>
      <c r="D53" s="19"/>
      <c r="E53" s="20"/>
      <c r="F53" s="20"/>
      <c r="G53" s="20"/>
      <c r="H53" s="20"/>
      <c r="I53" s="20"/>
      <c r="J53" s="20"/>
      <c r="K53" s="20"/>
    </row>
    <row r="54" spans="1:11">
      <c r="A54" s="18"/>
      <c r="B54" s="19"/>
      <c r="C54" s="19"/>
      <c r="D54" s="19"/>
      <c r="E54" s="20"/>
      <c r="F54" s="20"/>
      <c r="G54" s="20"/>
      <c r="H54" s="20"/>
      <c r="I54" s="20"/>
      <c r="J54" s="20"/>
      <c r="K54" s="20"/>
    </row>
    <row r="55" spans="1:11">
      <c r="A55" s="18" t="s">
        <v>28</v>
      </c>
      <c r="B55" s="19" t="s">
        <v>29</v>
      </c>
      <c r="C55" s="19" t="s">
        <v>30</v>
      </c>
      <c r="D55" s="19"/>
      <c r="E55" s="20"/>
      <c r="F55" s="20"/>
      <c r="G55" s="20"/>
      <c r="H55" s="20"/>
      <c r="I55" s="20"/>
      <c r="J55" s="20"/>
      <c r="K55" s="20"/>
    </row>
    <row r="56" spans="1:11">
      <c r="A56" s="18" t="s">
        <v>31</v>
      </c>
      <c r="B56" s="19">
        <v>0</v>
      </c>
      <c r="C56" s="19">
        <v>0</v>
      </c>
      <c r="D56" s="19"/>
      <c r="E56" s="20"/>
      <c r="F56" s="20"/>
      <c r="G56" s="20"/>
      <c r="H56" s="20"/>
      <c r="I56" s="20"/>
      <c r="J56" s="20"/>
      <c r="K56" s="20"/>
    </row>
    <row r="57" spans="1:11">
      <c r="A57" s="18" t="s">
        <v>32</v>
      </c>
      <c r="B57" s="22">
        <f>-COS(B53)</f>
        <v>-0.71767859630928721</v>
      </c>
      <c r="C57" s="22">
        <f>SIN(B53)</f>
        <v>0.69637449149113095</v>
      </c>
      <c r="D57" s="22"/>
      <c r="E57" s="20"/>
      <c r="F57" s="20"/>
      <c r="G57" s="20"/>
      <c r="H57" s="20"/>
      <c r="I57" s="20"/>
      <c r="J57" s="20"/>
      <c r="K57" s="20"/>
    </row>
    <row r="58" spans="1:11">
      <c r="A58" s="20"/>
      <c r="B58" s="20"/>
      <c r="C58" s="20"/>
      <c r="D58" s="20"/>
      <c r="E58" s="20"/>
      <c r="F58" s="18" t="s">
        <v>54</v>
      </c>
      <c r="G58" s="19">
        <f>((E38-A46)/(A51-A46))*PI()</f>
        <v>0.21130882295585759</v>
      </c>
      <c r="H58" s="19"/>
      <c r="I58" s="20"/>
      <c r="J58" s="20"/>
      <c r="K58" s="20"/>
    </row>
    <row r="59" spans="1:11">
      <c r="A59" s="20"/>
      <c r="B59" s="20"/>
      <c r="C59" s="20"/>
      <c r="D59" s="20"/>
      <c r="E59" s="20"/>
      <c r="F59" s="18"/>
      <c r="G59" s="19"/>
      <c r="H59" s="19"/>
      <c r="I59" s="20"/>
      <c r="J59" s="20"/>
      <c r="K59" s="20"/>
    </row>
    <row r="60" spans="1:11">
      <c r="A60" s="20"/>
      <c r="B60" s="20"/>
      <c r="C60" s="20"/>
      <c r="D60" s="20"/>
      <c r="E60" s="20"/>
      <c r="F60" s="18" t="s">
        <v>28</v>
      </c>
      <c r="G60" s="19" t="s">
        <v>29</v>
      </c>
      <c r="H60" s="19" t="s">
        <v>30</v>
      </c>
      <c r="I60" s="20"/>
      <c r="J60" s="20"/>
      <c r="K60" s="20"/>
    </row>
    <row r="61" spans="1:11">
      <c r="A61" s="20"/>
      <c r="B61" s="20"/>
      <c r="C61" s="20"/>
      <c r="D61" s="20"/>
      <c r="E61" s="20"/>
      <c r="F61" s="18" t="s">
        <v>31</v>
      </c>
      <c r="G61" s="19">
        <v>0</v>
      </c>
      <c r="H61" s="19">
        <v>0</v>
      </c>
      <c r="I61" s="20"/>
      <c r="J61" s="20"/>
      <c r="K61" s="20"/>
    </row>
    <row r="62" spans="1:11">
      <c r="A62" s="20"/>
      <c r="B62" s="20"/>
      <c r="C62" s="20"/>
      <c r="D62" s="20"/>
      <c r="E62" s="20"/>
      <c r="F62" s="18" t="s">
        <v>32</v>
      </c>
      <c r="G62" s="22">
        <f>-COS(G58)</f>
        <v>-0.9777572400078185</v>
      </c>
      <c r="H62" s="22">
        <f>SIN(G58)</f>
        <v>0.20973979024565959</v>
      </c>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row r="67" spans="1:11">
      <c r="A67" s="20"/>
      <c r="B67" s="20"/>
      <c r="C67" s="20"/>
      <c r="D67" s="20"/>
      <c r="E67" s="20"/>
      <c r="F67" s="20"/>
      <c r="G67" s="20"/>
      <c r="H67" s="20"/>
      <c r="I67" s="20"/>
      <c r="J67" s="20"/>
      <c r="K67" s="20"/>
    </row>
    <row r="68" spans="1:11">
      <c r="A68" s="20"/>
      <c r="B68" s="20"/>
      <c r="C68" s="20"/>
      <c r="D68" s="20"/>
      <c r="E68" s="20"/>
      <c r="F68" s="20"/>
      <c r="G68" s="20"/>
      <c r="H68" s="20"/>
      <c r="I68" s="20"/>
      <c r="J68" s="20"/>
      <c r="K68" s="20"/>
    </row>
    <row r="69" spans="1:11">
      <c r="A69" s="20"/>
      <c r="B69" s="20"/>
      <c r="C69" s="20"/>
      <c r="D69" s="20"/>
      <c r="E69" s="20"/>
      <c r="F69" s="20"/>
      <c r="G69" s="20"/>
      <c r="H69" s="20"/>
      <c r="I69" s="20"/>
      <c r="J69" s="20"/>
      <c r="K69" s="20"/>
    </row>
    <row r="70" spans="1:11">
      <c r="A70" s="18" t="s">
        <v>33</v>
      </c>
      <c r="B70" s="19">
        <f>((K38-A46)/(A51-A46))*PI()</f>
        <v>1.8679438775683537</v>
      </c>
      <c r="C70" s="19"/>
      <c r="D70" s="19"/>
      <c r="E70" s="20"/>
      <c r="F70" s="20"/>
      <c r="G70" s="20"/>
      <c r="H70" s="20"/>
      <c r="I70" s="20"/>
      <c r="J70" s="20"/>
      <c r="K70" s="20"/>
    </row>
    <row r="71" spans="1:11">
      <c r="A71" s="18"/>
      <c r="B71" s="19"/>
      <c r="C71" s="19"/>
      <c r="D71" s="19"/>
      <c r="E71" s="20"/>
      <c r="F71" s="20"/>
      <c r="G71" s="20"/>
      <c r="H71" s="20"/>
      <c r="I71" s="20"/>
      <c r="J71" s="20"/>
      <c r="K71" s="20"/>
    </row>
    <row r="72" spans="1:11">
      <c r="A72" s="18" t="s">
        <v>28</v>
      </c>
      <c r="B72" s="19" t="s">
        <v>29</v>
      </c>
      <c r="C72" s="19" t="s">
        <v>30</v>
      </c>
      <c r="D72" s="19"/>
      <c r="E72" s="20"/>
      <c r="F72" s="20"/>
      <c r="G72" s="20"/>
      <c r="H72" s="20"/>
      <c r="I72" s="20"/>
      <c r="J72" s="20"/>
      <c r="K72" s="20"/>
    </row>
    <row r="73" spans="1:11">
      <c r="A73" s="18" t="s">
        <v>31</v>
      </c>
      <c r="B73" s="19">
        <v>0</v>
      </c>
      <c r="C73" s="19">
        <v>0</v>
      </c>
      <c r="D73" s="19"/>
      <c r="E73" s="20"/>
      <c r="F73" s="20"/>
      <c r="G73" s="20"/>
      <c r="H73" s="20"/>
      <c r="I73" s="20"/>
      <c r="J73" s="20"/>
      <c r="K73" s="20"/>
    </row>
    <row r="74" spans="1:11">
      <c r="A74" s="18" t="s">
        <v>32</v>
      </c>
      <c r="B74" s="22">
        <f>-COS(B70)</f>
        <v>0.2927939592828927</v>
      </c>
      <c r="C74" s="22">
        <f>SIN(B70)</f>
        <v>0.9561755578383333</v>
      </c>
      <c r="D74" s="22"/>
      <c r="E74" s="20"/>
      <c r="F74" s="20"/>
      <c r="G74" s="20"/>
      <c r="H74" s="20"/>
      <c r="I74" s="20"/>
      <c r="J74" s="20"/>
      <c r="K74" s="20"/>
    </row>
    <row r="75" spans="1:11">
      <c r="A75" s="20"/>
      <c r="B75" s="20"/>
      <c r="C75" s="20"/>
      <c r="D75" s="20"/>
      <c r="E75" s="20"/>
      <c r="F75" s="20"/>
      <c r="G75" s="20"/>
      <c r="H75" s="20"/>
      <c r="I75" s="20"/>
      <c r="J75" s="20"/>
      <c r="K75" s="20"/>
    </row>
  </sheetData>
  <mergeCells count="5">
    <mergeCell ref="A7:A8"/>
    <mergeCell ref="B7:B8"/>
    <mergeCell ref="F7:K7"/>
    <mergeCell ref="E7:E8"/>
    <mergeCell ref="C7:D7"/>
  </mergeCells>
  <printOptions horizontalCentered="1"/>
  <pageMargins left="0.78740157480314965" right="0.78740157480314965" top="0.78740157480314965" bottom="0.59055118110236227" header="0" footer="0"/>
  <pageSetup scale="74" orientation="portrait"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8"/>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68</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3065"/>
      <c r="B6" s="3065"/>
      <c r="C6" s="3065"/>
      <c r="D6" s="3065"/>
      <c r="E6" s="3065"/>
      <c r="F6" s="3065"/>
      <c r="G6" s="3065"/>
      <c r="H6" s="3065"/>
      <c r="I6" s="3065"/>
      <c r="J6" s="3065"/>
      <c r="K6" s="3065"/>
      <c r="L6" s="3065"/>
      <c r="M6" s="2908"/>
      <c r="N6" s="3063"/>
      <c r="O6" s="3063"/>
      <c r="P6" s="3064"/>
      <c r="Q6" s="3063"/>
      <c r="R6" s="3063"/>
      <c r="S6" s="3063"/>
      <c r="T6" s="3063"/>
      <c r="U6" s="3063"/>
      <c r="V6" s="3064"/>
      <c r="W6" s="3064"/>
      <c r="X6" s="3063"/>
      <c r="Y6" s="2908"/>
    </row>
    <row r="7" spans="1:25" ht="15.6">
      <c r="A7" s="439"/>
      <c r="B7" s="1049">
        <v>54</v>
      </c>
      <c r="C7" s="1049" t="s">
        <v>114</v>
      </c>
      <c r="D7" s="1059" t="s">
        <v>201</v>
      </c>
      <c r="E7" s="1050"/>
      <c r="F7" s="439"/>
      <c r="G7" s="1051"/>
      <c r="H7" s="439"/>
      <c r="I7" s="1051"/>
      <c r="J7" s="1051"/>
      <c r="K7" s="1051"/>
      <c r="L7" s="1051"/>
      <c r="M7" s="1051"/>
      <c r="N7" s="1050"/>
      <c r="O7" s="1050"/>
      <c r="P7" s="1052"/>
      <c r="Q7" s="1052"/>
      <c r="R7" s="1052"/>
      <c r="S7" s="1052"/>
      <c r="T7" s="1053"/>
      <c r="U7" s="1053"/>
      <c r="V7" s="1053"/>
      <c r="W7" s="1053"/>
      <c r="X7" s="1053"/>
      <c r="Y7" s="832"/>
    </row>
    <row r="8" spans="1:25" ht="15.6">
      <c r="A8" s="489"/>
      <c r="B8" s="1012">
        <v>5402</v>
      </c>
      <c r="C8" s="1012" t="s">
        <v>115</v>
      </c>
      <c r="D8" s="1013" t="s">
        <v>118</v>
      </c>
      <c r="E8" s="1014"/>
      <c r="F8" s="488"/>
      <c r="G8" s="489"/>
      <c r="H8" s="488"/>
      <c r="I8" s="489"/>
      <c r="J8" s="489"/>
      <c r="K8" s="489"/>
      <c r="L8" s="489"/>
      <c r="M8" s="489"/>
      <c r="N8" s="1014"/>
      <c r="O8" s="1014"/>
      <c r="P8" s="1015"/>
      <c r="Q8" s="1015"/>
      <c r="R8" s="1015"/>
      <c r="S8" s="1015"/>
      <c r="T8" s="1016"/>
      <c r="U8" s="1016"/>
      <c r="V8" s="1016"/>
      <c r="W8" s="1016"/>
      <c r="X8" s="1016"/>
      <c r="Y8" s="839"/>
    </row>
    <row r="9" spans="1:25">
      <c r="A9" s="492"/>
      <c r="B9" s="1017">
        <v>5402001</v>
      </c>
      <c r="C9" s="1017" t="s">
        <v>116</v>
      </c>
      <c r="D9" s="1018" t="s">
        <v>119</v>
      </c>
      <c r="E9" s="1019"/>
      <c r="F9" s="491"/>
      <c r="G9" s="492"/>
      <c r="H9" s="491"/>
      <c r="I9" s="492"/>
      <c r="J9" s="492"/>
      <c r="K9" s="492"/>
      <c r="L9" s="492"/>
      <c r="M9" s="492"/>
      <c r="N9" s="1019"/>
      <c r="O9" s="1019"/>
      <c r="P9" s="1020"/>
      <c r="Q9" s="1020"/>
      <c r="R9" s="1020"/>
      <c r="S9" s="1020"/>
      <c r="T9" s="1021"/>
      <c r="U9" s="1021"/>
      <c r="V9" s="1021"/>
      <c r="W9" s="1021"/>
      <c r="X9" s="1021"/>
      <c r="Y9" s="872"/>
    </row>
    <row r="10" spans="1:25">
      <c r="A10" s="447"/>
      <c r="B10" s="375">
        <v>54020010021</v>
      </c>
      <c r="C10" s="375" t="s">
        <v>117</v>
      </c>
      <c r="D10" s="1022" t="s">
        <v>1228</v>
      </c>
      <c r="E10" s="374"/>
      <c r="F10" s="485"/>
      <c r="G10" s="447"/>
      <c r="H10" s="375"/>
      <c r="I10" s="447"/>
      <c r="J10" s="447"/>
      <c r="K10" s="447"/>
      <c r="L10" s="447"/>
      <c r="M10" s="447"/>
      <c r="N10" s="374"/>
      <c r="O10" s="374"/>
      <c r="P10" s="1023"/>
      <c r="Q10" s="1023"/>
      <c r="R10" s="1023"/>
      <c r="S10" s="1023"/>
      <c r="T10" s="1024"/>
      <c r="U10" s="1024"/>
      <c r="V10" s="1024"/>
      <c r="W10" s="1024"/>
      <c r="X10" s="1024"/>
      <c r="Y10" s="846"/>
    </row>
    <row r="11" spans="1:25" ht="15.6">
      <c r="A11" s="3041">
        <v>4135</v>
      </c>
      <c r="B11" s="3041"/>
      <c r="C11" s="3041" t="s">
        <v>502</v>
      </c>
      <c r="D11" s="3066" t="s">
        <v>1229</v>
      </c>
      <c r="E11" s="473" t="s">
        <v>1230</v>
      </c>
      <c r="F11" s="1054"/>
      <c r="G11" s="393"/>
      <c r="H11" s="1025"/>
      <c r="I11" s="465"/>
      <c r="J11" s="465"/>
      <c r="K11" s="393"/>
      <c r="L11" s="1026">
        <f>L12+L13+L14+L15</f>
        <v>1</v>
      </c>
      <c r="M11" s="880"/>
      <c r="N11" s="1060">
        <f>N12+N15+N13+N14</f>
        <v>0</v>
      </c>
      <c r="O11" s="3073">
        <f>IF(Q11&gt;0, N11,"na")</f>
        <v>0</v>
      </c>
      <c r="P11" s="1029">
        <f>P12+P13+P14+P15</f>
        <v>1000000000</v>
      </c>
      <c r="Q11" s="1029">
        <f>Q12+Q13+Q14+Q15</f>
        <v>1000000000</v>
      </c>
      <c r="R11" s="1029">
        <f>R12+R15+R13+R14</f>
        <v>0</v>
      </c>
      <c r="S11" s="383">
        <f>S12+S15+S13+S14</f>
        <v>0</v>
      </c>
      <c r="T11" s="1060">
        <f t="shared" ref="T11:U15" si="0">IF(Q11=0,0,R11/Q11)</f>
        <v>0</v>
      </c>
      <c r="U11" s="1060">
        <f t="shared" si="0"/>
        <v>0</v>
      </c>
      <c r="V11" s="880"/>
      <c r="W11" s="880"/>
      <c r="X11" s="880"/>
      <c r="Y11" s="3066" t="s">
        <v>69</v>
      </c>
    </row>
    <row r="12" spans="1:25" ht="118.8">
      <c r="A12" s="3067"/>
      <c r="B12" s="3067"/>
      <c r="C12" s="3067"/>
      <c r="D12" s="3066"/>
      <c r="E12" s="1055" t="s">
        <v>1231</v>
      </c>
      <c r="F12" s="1025"/>
      <c r="G12" s="3069" t="s">
        <v>1232</v>
      </c>
      <c r="H12" s="1025"/>
      <c r="I12" s="464" t="s">
        <v>1233</v>
      </c>
      <c r="J12" s="464" t="s">
        <v>1234</v>
      </c>
      <c r="K12" s="465">
        <v>2</v>
      </c>
      <c r="L12" s="1026">
        <v>0.25</v>
      </c>
      <c r="M12" s="389"/>
      <c r="N12" s="1060">
        <v>0</v>
      </c>
      <c r="O12" s="3074"/>
      <c r="P12" s="383">
        <v>250000000</v>
      </c>
      <c r="Q12" s="383">
        <v>250000000</v>
      </c>
      <c r="R12" s="383">
        <v>0</v>
      </c>
      <c r="S12" s="383">
        <v>0</v>
      </c>
      <c r="T12" s="1060">
        <f t="shared" si="0"/>
        <v>0</v>
      </c>
      <c r="U12" s="1060">
        <f t="shared" si="0"/>
        <v>0</v>
      </c>
      <c r="V12" s="1032"/>
      <c r="W12" s="1033"/>
      <c r="X12" s="1034" t="s">
        <v>1235</v>
      </c>
      <c r="Y12" s="3067"/>
    </row>
    <row r="13" spans="1:25" ht="66">
      <c r="A13" s="3067"/>
      <c r="B13" s="3067"/>
      <c r="C13" s="3067"/>
      <c r="D13" s="3066"/>
      <c r="E13" s="1055" t="s">
        <v>1236</v>
      </c>
      <c r="F13" s="1035"/>
      <c r="G13" s="3069"/>
      <c r="H13" s="1035"/>
      <c r="I13" s="464" t="s">
        <v>1237</v>
      </c>
      <c r="J13" s="464" t="s">
        <v>247</v>
      </c>
      <c r="K13" s="465">
        <v>0</v>
      </c>
      <c r="L13" s="1026">
        <v>0.25</v>
      </c>
      <c r="M13" s="1036"/>
      <c r="N13" s="1060">
        <v>0</v>
      </c>
      <c r="O13" s="3074"/>
      <c r="P13" s="383">
        <v>250000000</v>
      </c>
      <c r="Q13" s="383">
        <v>250000000</v>
      </c>
      <c r="R13" s="383">
        <v>0</v>
      </c>
      <c r="S13" s="383">
        <v>0</v>
      </c>
      <c r="T13" s="1060">
        <f t="shared" si="0"/>
        <v>0</v>
      </c>
      <c r="U13" s="1060">
        <f t="shared" si="0"/>
        <v>0</v>
      </c>
      <c r="V13" s="1032"/>
      <c r="W13" s="1033"/>
      <c r="X13" s="1034" t="s">
        <v>1238</v>
      </c>
      <c r="Y13" s="3067"/>
    </row>
    <row r="14" spans="1:25" ht="92.4">
      <c r="A14" s="3067"/>
      <c r="B14" s="3067"/>
      <c r="C14" s="3067"/>
      <c r="D14" s="3066"/>
      <c r="E14" s="1055" t="s">
        <v>1239</v>
      </c>
      <c r="F14" s="1025"/>
      <c r="G14" s="3069"/>
      <c r="H14" s="1025"/>
      <c r="I14" s="464" t="s">
        <v>1240</v>
      </c>
      <c r="J14" s="464" t="s">
        <v>124</v>
      </c>
      <c r="K14" s="465">
        <v>0</v>
      </c>
      <c r="L14" s="1026">
        <v>0.25</v>
      </c>
      <c r="M14" s="1036"/>
      <c r="N14" s="1060">
        <v>0</v>
      </c>
      <c r="O14" s="3074"/>
      <c r="P14" s="383">
        <v>320000000</v>
      </c>
      <c r="Q14" s="383">
        <v>320000000</v>
      </c>
      <c r="R14" s="383">
        <v>0</v>
      </c>
      <c r="S14" s="383">
        <v>0</v>
      </c>
      <c r="T14" s="1060">
        <f t="shared" si="0"/>
        <v>0</v>
      </c>
      <c r="U14" s="1060">
        <f t="shared" si="0"/>
        <v>0</v>
      </c>
      <c r="V14" s="1032"/>
      <c r="W14" s="1033"/>
      <c r="X14" s="1034" t="s">
        <v>1238</v>
      </c>
      <c r="Y14" s="3067"/>
    </row>
    <row r="15" spans="1:25" ht="105.6">
      <c r="A15" s="3071"/>
      <c r="B15" s="3071"/>
      <c r="C15" s="3071"/>
      <c r="D15" s="3072"/>
      <c r="E15" s="1037" t="s">
        <v>1241</v>
      </c>
      <c r="F15" s="1038"/>
      <c r="G15" s="3070"/>
      <c r="H15" s="1038"/>
      <c r="I15" s="502" t="s">
        <v>1242</v>
      </c>
      <c r="J15" s="502" t="s">
        <v>120</v>
      </c>
      <c r="K15" s="505">
        <v>300</v>
      </c>
      <c r="L15" s="1039">
        <v>0.25</v>
      </c>
      <c r="M15" s="1040">
        <v>0</v>
      </c>
      <c r="N15" s="1062">
        <v>0</v>
      </c>
      <c r="O15" s="3075"/>
      <c r="P15" s="507">
        <v>180000000</v>
      </c>
      <c r="Q15" s="507">
        <v>180000000</v>
      </c>
      <c r="R15" s="507">
        <v>0</v>
      </c>
      <c r="S15" s="507">
        <v>0</v>
      </c>
      <c r="T15" s="1062">
        <f t="shared" si="0"/>
        <v>0</v>
      </c>
      <c r="U15" s="1062">
        <f t="shared" si="0"/>
        <v>0</v>
      </c>
      <c r="V15" s="1056"/>
      <c r="W15" s="1057"/>
      <c r="X15" s="1058" t="s">
        <v>1235</v>
      </c>
      <c r="Y15" s="3068"/>
    </row>
    <row r="16" spans="1:25">
      <c r="A16" s="511"/>
      <c r="B16" s="511"/>
      <c r="C16" s="511"/>
      <c r="D16" s="511"/>
      <c r="E16" s="513"/>
      <c r="F16" s="512"/>
      <c r="G16" s="512"/>
      <c r="H16" s="512"/>
      <c r="I16" s="512"/>
      <c r="J16" s="511"/>
      <c r="K16" s="511"/>
      <c r="L16" s="1042"/>
      <c r="M16" s="1042"/>
      <c r="N16" s="1042"/>
      <c r="O16" s="1042"/>
      <c r="P16" s="1043"/>
      <c r="Q16" s="1043"/>
      <c r="R16" s="1043"/>
      <c r="S16" s="1043"/>
      <c r="T16" s="79"/>
      <c r="U16" s="79"/>
      <c r="V16" s="54"/>
      <c r="W16" s="54"/>
      <c r="X16" s="54"/>
      <c r="Y16" s="56"/>
    </row>
    <row r="17" spans="1:25">
      <c r="A17" s="416"/>
      <c r="B17" s="517" t="s">
        <v>50</v>
      </c>
      <c r="C17" s="517">
        <f>COUNTIF(C7:C15,"pr")</f>
        <v>1</v>
      </c>
      <c r="D17" s="416"/>
      <c r="E17" s="416" t="s">
        <v>126</v>
      </c>
      <c r="F17" s="416"/>
      <c r="G17" s="45">
        <f>COUNTIF(O7:O15,"na")</f>
        <v>0</v>
      </c>
      <c r="H17" s="416"/>
      <c r="I17" s="416"/>
      <c r="J17" s="517"/>
      <c r="K17" s="416"/>
      <c r="L17" s="1044"/>
      <c r="M17" s="1045"/>
      <c r="N17" s="50" t="s">
        <v>1243</v>
      </c>
      <c r="O17" s="1046">
        <f>AVERAGE(O7:O15)</f>
        <v>0</v>
      </c>
      <c r="P17" s="55">
        <f>P11</f>
        <v>1000000000</v>
      </c>
      <c r="Q17" s="55">
        <f>Q11</f>
        <v>1000000000</v>
      </c>
      <c r="R17" s="55">
        <f>R11</f>
        <v>0</v>
      </c>
      <c r="S17" s="55">
        <f>S11</f>
        <v>0</v>
      </c>
      <c r="T17" s="1063">
        <f>IF(Q17=0,0,R17/Q17)</f>
        <v>0</v>
      </c>
      <c r="U17" s="1063">
        <f>IF(R17=0,0,S17/R17)</f>
        <v>0</v>
      </c>
      <c r="V17" s="52"/>
      <c r="W17" s="52"/>
      <c r="X17" s="52"/>
      <c r="Y17" s="57"/>
    </row>
    <row r="18" spans="1:25">
      <c r="N18" s="1047" t="s">
        <v>133</v>
      </c>
      <c r="O18" s="1048">
        <f>COUNTIF(O7:O15,"=0%")</f>
        <v>1</v>
      </c>
      <c r="P18" s="55">
        <v>1000000000</v>
      </c>
      <c r="Q18" s="55">
        <v>1000000000</v>
      </c>
      <c r="R18" s="55">
        <v>0</v>
      </c>
      <c r="S18" s="55">
        <v>0</v>
      </c>
    </row>
  </sheetData>
  <mergeCells count="39">
    <mergeCell ref="Y11:Y15"/>
    <mergeCell ref="G12:G15"/>
    <mergeCell ref="A11:A15"/>
    <mergeCell ref="B11:B15"/>
    <mergeCell ref="C11:C15"/>
    <mergeCell ref="D11:D15"/>
    <mergeCell ref="O11:O15"/>
    <mergeCell ref="K5:K6"/>
    <mergeCell ref="O5:O6"/>
    <mergeCell ref="A2:Y2"/>
    <mergeCell ref="A3:B3"/>
    <mergeCell ref="C3:R3"/>
    <mergeCell ref="S3:U3"/>
    <mergeCell ref="V3:W3"/>
    <mergeCell ref="A4:Y4"/>
    <mergeCell ref="A5:A6"/>
    <mergeCell ref="B5:B6"/>
    <mergeCell ref="C5:C6"/>
    <mergeCell ref="D5:D6"/>
    <mergeCell ref="E5:E6"/>
    <mergeCell ref="F5:F6"/>
    <mergeCell ref="L5:L6"/>
    <mergeCell ref="N5:N6"/>
    <mergeCell ref="A1:X1"/>
    <mergeCell ref="Y5:Y6"/>
    <mergeCell ref="S5:S6"/>
    <mergeCell ref="T5:T6"/>
    <mergeCell ref="U5:U6"/>
    <mergeCell ref="V5:V6"/>
    <mergeCell ref="W5:W6"/>
    <mergeCell ref="X5:X6"/>
    <mergeCell ref="P5:P6"/>
    <mergeCell ref="Q5:Q6"/>
    <mergeCell ref="G5:G6"/>
    <mergeCell ref="H5:H6"/>
    <mergeCell ref="I5:I6"/>
    <mergeCell ref="R5:R6"/>
    <mergeCell ref="M5:M6"/>
    <mergeCell ref="J5:J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63"/>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2.66406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6" ht="99.9" customHeight="1">
      <c r="A1" s="3083"/>
      <c r="B1" s="3083"/>
      <c r="C1" s="3083"/>
      <c r="D1" s="3083"/>
      <c r="E1" s="3083"/>
      <c r="F1" s="3083"/>
      <c r="G1" s="3083"/>
      <c r="H1" s="3083"/>
      <c r="I1" s="3083"/>
      <c r="J1" s="3083"/>
      <c r="K1" s="3083"/>
      <c r="L1" s="3083"/>
      <c r="M1" s="3083"/>
      <c r="N1" s="3083"/>
      <c r="O1" s="3083"/>
      <c r="P1" s="3083"/>
      <c r="Q1" s="3083"/>
      <c r="R1" s="3083"/>
      <c r="S1" s="3083"/>
      <c r="T1" s="3083"/>
      <c r="U1" s="3083"/>
      <c r="V1" s="3083"/>
      <c r="W1" s="3083"/>
      <c r="X1" s="3083"/>
    </row>
    <row r="2" spans="1:26" ht="25.5" customHeight="1">
      <c r="A2" s="3018"/>
      <c r="B2" s="3019"/>
      <c r="C2" s="3019"/>
      <c r="D2" s="3019"/>
      <c r="E2" s="3019"/>
      <c r="F2" s="3019"/>
      <c r="G2" s="3019"/>
      <c r="H2" s="3019"/>
      <c r="I2" s="3019"/>
      <c r="J2" s="3019"/>
      <c r="K2" s="3019"/>
      <c r="L2" s="3019"/>
      <c r="M2" s="3019"/>
      <c r="N2" s="3019"/>
      <c r="O2" s="3019"/>
      <c r="P2" s="3019"/>
      <c r="Q2" s="3019"/>
      <c r="R2" s="3019"/>
      <c r="S2" s="3019"/>
      <c r="T2" s="3019"/>
      <c r="U2" s="3019"/>
      <c r="V2" s="3019"/>
      <c r="W2" s="3019"/>
      <c r="X2" s="3019"/>
      <c r="Y2" s="3020"/>
    </row>
    <row r="3" spans="1:26" s="27" customFormat="1" ht="25.5" customHeight="1">
      <c r="A3" s="3021" t="s">
        <v>269</v>
      </c>
      <c r="B3" s="3021"/>
      <c r="C3" s="3021" t="s">
        <v>284</v>
      </c>
      <c r="D3" s="3021"/>
      <c r="E3" s="3021"/>
      <c r="F3" s="3021"/>
      <c r="G3" s="3021"/>
      <c r="H3" s="3021"/>
      <c r="I3" s="3021"/>
      <c r="J3" s="3021"/>
      <c r="K3" s="3021"/>
      <c r="L3" s="3021"/>
      <c r="M3" s="3021"/>
      <c r="N3" s="3021"/>
      <c r="O3" s="3021"/>
      <c r="P3" s="3021"/>
      <c r="Q3" s="3021"/>
      <c r="R3" s="3021"/>
      <c r="S3" s="3021"/>
      <c r="T3" s="2876" t="s">
        <v>17</v>
      </c>
      <c r="U3" s="2876"/>
      <c r="V3" s="2877">
        <v>45382</v>
      </c>
      <c r="W3" s="2876"/>
      <c r="X3" s="41" t="s">
        <v>5</v>
      </c>
      <c r="Y3" s="43">
        <v>2024</v>
      </c>
      <c r="Z3" s="51"/>
    </row>
    <row r="4" spans="1:26" ht="18">
      <c r="A4" s="3013"/>
      <c r="B4" s="3013"/>
      <c r="C4" s="3013"/>
      <c r="D4" s="3013"/>
      <c r="E4" s="3013"/>
      <c r="F4" s="3013"/>
      <c r="G4" s="3013"/>
      <c r="H4" s="3013"/>
      <c r="I4" s="3013"/>
      <c r="J4" s="3013"/>
      <c r="K4" s="3013"/>
      <c r="L4" s="3013"/>
      <c r="M4" s="3013"/>
      <c r="N4" s="3013"/>
      <c r="O4" s="3013"/>
      <c r="P4" s="3013"/>
      <c r="Q4" s="3013"/>
      <c r="R4" s="3013"/>
      <c r="S4" s="3013"/>
      <c r="T4" s="3013"/>
      <c r="U4" s="3013"/>
      <c r="V4" s="3013"/>
      <c r="W4" s="3013"/>
      <c r="X4" s="3013"/>
      <c r="Y4" s="3"/>
      <c r="Z4" s="2"/>
    </row>
    <row r="5" spans="1:26"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270</v>
      </c>
      <c r="X5" s="2868" t="s">
        <v>271</v>
      </c>
      <c r="Y5" s="2867" t="s">
        <v>90</v>
      </c>
      <c r="Z5" s="2"/>
    </row>
    <row r="6" spans="1:26" ht="42.75" customHeight="1">
      <c r="A6" s="3065"/>
      <c r="B6" s="3065"/>
      <c r="C6" s="3065"/>
      <c r="D6" s="3065"/>
      <c r="E6" s="3065"/>
      <c r="F6" s="3065"/>
      <c r="G6" s="3065"/>
      <c r="H6" s="3065"/>
      <c r="I6" s="3065"/>
      <c r="J6" s="3065"/>
      <c r="K6" s="3065"/>
      <c r="L6" s="3065"/>
      <c r="M6" s="2908"/>
      <c r="N6" s="3063"/>
      <c r="O6" s="3063"/>
      <c r="P6" s="3064"/>
      <c r="Q6" s="3063"/>
      <c r="R6" s="3063"/>
      <c r="S6" s="3063"/>
      <c r="T6" s="3063"/>
      <c r="U6" s="3063"/>
      <c r="V6" s="3064"/>
      <c r="W6" s="3064"/>
      <c r="X6" s="3063"/>
      <c r="Y6" s="2908"/>
      <c r="Z6" s="2"/>
    </row>
    <row r="7" spans="1:26" ht="15.6">
      <c r="A7" s="1113"/>
      <c r="B7" s="1114">
        <v>54</v>
      </c>
      <c r="C7" s="1114" t="s">
        <v>114</v>
      </c>
      <c r="D7" s="1115" t="s">
        <v>122</v>
      </c>
      <c r="E7" s="1116"/>
      <c r="F7" s="1117"/>
      <c r="G7" s="1118"/>
      <c r="H7" s="1119"/>
      <c r="I7" s="1118"/>
      <c r="J7" s="1118"/>
      <c r="K7" s="1118"/>
      <c r="L7" s="1118"/>
      <c r="M7" s="1120"/>
      <c r="N7" s="1121"/>
      <c r="O7" s="1121"/>
      <c r="P7" s="1122"/>
      <c r="Q7" s="1123"/>
      <c r="R7" s="1123"/>
      <c r="S7" s="1123"/>
      <c r="T7" s="1123"/>
      <c r="U7" s="1123"/>
      <c r="V7" s="1123"/>
      <c r="W7" s="1123"/>
      <c r="X7" s="1123"/>
      <c r="Y7" s="1118"/>
    </row>
    <row r="8" spans="1:26" ht="15.6">
      <c r="A8" s="1021"/>
      <c r="B8" s="1064">
        <v>5401</v>
      </c>
      <c r="C8" s="1064" t="s">
        <v>115</v>
      </c>
      <c r="D8" s="1016" t="s">
        <v>134</v>
      </c>
      <c r="E8" s="1065"/>
      <c r="F8" s="1066"/>
      <c r="G8" s="1067"/>
      <c r="H8" s="1068"/>
      <c r="I8" s="1067"/>
      <c r="J8" s="1067"/>
      <c r="K8" s="1067"/>
      <c r="L8" s="1067"/>
      <c r="M8" s="847"/>
      <c r="N8" s="1069"/>
      <c r="O8" s="1069"/>
      <c r="P8" s="1070"/>
      <c r="Q8" s="1024"/>
      <c r="R8" s="1024"/>
      <c r="S8" s="1024"/>
      <c r="T8" s="1024"/>
      <c r="U8" s="1024"/>
      <c r="V8" s="1024"/>
      <c r="W8" s="1024"/>
      <c r="X8" s="1024"/>
      <c r="Y8" s="1067"/>
    </row>
    <row r="9" spans="1:26">
      <c r="A9" s="1021"/>
      <c r="B9" s="1071">
        <v>5401001</v>
      </c>
      <c r="C9" s="1071" t="s">
        <v>116</v>
      </c>
      <c r="D9" s="1072" t="s">
        <v>202</v>
      </c>
      <c r="E9" s="1065"/>
      <c r="F9" s="1066"/>
      <c r="G9" s="1067"/>
      <c r="H9" s="1068"/>
      <c r="I9" s="1067"/>
      <c r="J9" s="1067"/>
      <c r="K9" s="1067"/>
      <c r="L9" s="1067"/>
      <c r="M9" s="847"/>
      <c r="N9" s="1073"/>
      <c r="O9" s="1073"/>
      <c r="P9" s="1070"/>
      <c r="Q9" s="1024"/>
      <c r="R9" s="1024"/>
      <c r="S9" s="1024"/>
      <c r="T9" s="1024"/>
      <c r="U9" s="1024"/>
      <c r="V9" s="1024"/>
      <c r="W9" s="1024"/>
      <c r="X9" s="1024"/>
      <c r="Y9" s="1067"/>
    </row>
    <row r="10" spans="1:26" ht="27.6">
      <c r="A10" s="1021"/>
      <c r="B10" s="1074">
        <v>54010010001</v>
      </c>
      <c r="C10" s="1074" t="s">
        <v>117</v>
      </c>
      <c r="D10" s="846" t="s">
        <v>1244</v>
      </c>
      <c r="E10" s="1065"/>
      <c r="F10" s="879"/>
      <c r="G10" s="1024"/>
      <c r="H10" s="1075"/>
      <c r="I10" s="1067"/>
      <c r="J10" s="1067"/>
      <c r="K10" s="1067"/>
      <c r="L10" s="1067"/>
      <c r="M10" s="847"/>
      <c r="N10" s="1073"/>
      <c r="O10" s="1073"/>
      <c r="P10" s="1070"/>
      <c r="Q10" s="1024"/>
      <c r="R10" s="1024"/>
      <c r="S10" s="1024"/>
      <c r="T10" s="1024"/>
      <c r="U10" s="1024"/>
      <c r="V10" s="1024"/>
      <c r="W10" s="1024"/>
      <c r="X10" s="1024"/>
      <c r="Y10" s="1067"/>
    </row>
    <row r="11" spans="1:26">
      <c r="A11" s="3076">
        <v>4137</v>
      </c>
      <c r="B11" s="3076"/>
      <c r="C11" s="3076" t="s">
        <v>502</v>
      </c>
      <c r="D11" s="3076" t="s">
        <v>1245</v>
      </c>
      <c r="E11" s="1076" t="s">
        <v>1246</v>
      </c>
      <c r="F11" s="858"/>
      <c r="G11" s="878"/>
      <c r="H11" s="852"/>
      <c r="I11" s="1077"/>
      <c r="J11" s="1077"/>
      <c r="K11" s="1078">
        <f>K12+K13</f>
        <v>2</v>
      </c>
      <c r="L11" s="1079">
        <f t="shared" ref="L11" si="0">+L12+L13</f>
        <v>1</v>
      </c>
      <c r="M11" s="1080">
        <v>0</v>
      </c>
      <c r="N11" s="887">
        <f>+N12+N13</f>
        <v>0.125</v>
      </c>
      <c r="O11" s="3079">
        <f>IF(Q11&gt;0,N11,"na")</f>
        <v>0.125</v>
      </c>
      <c r="P11" s="1081">
        <f t="shared" ref="P11:S11" si="1">+P12+P13</f>
        <v>200000000</v>
      </c>
      <c r="Q11" s="1081">
        <f t="shared" si="1"/>
        <v>200000000</v>
      </c>
      <c r="R11" s="1081">
        <f t="shared" si="1"/>
        <v>25996000</v>
      </c>
      <c r="S11" s="1081">
        <f t="shared" si="1"/>
        <v>19497000</v>
      </c>
      <c r="T11" s="77">
        <f t="shared" ref="T11:U13" si="2">IF(Q11=0,0,R11/Q11)</f>
        <v>0.12998000000000001</v>
      </c>
      <c r="U11" s="77">
        <f t="shared" si="2"/>
        <v>0.75</v>
      </c>
      <c r="V11" s="880"/>
      <c r="W11" s="880"/>
      <c r="X11" s="880"/>
      <c r="Y11" s="3037" t="s">
        <v>1249</v>
      </c>
    </row>
    <row r="12" spans="1:26" ht="52.8">
      <c r="A12" s="3077"/>
      <c r="B12" s="3077"/>
      <c r="C12" s="3077"/>
      <c r="D12" s="3078"/>
      <c r="E12" s="1076" t="s">
        <v>1247</v>
      </c>
      <c r="F12" s="858"/>
      <c r="G12" s="3042" t="s">
        <v>1244</v>
      </c>
      <c r="H12" s="852"/>
      <c r="I12" s="1082" t="s">
        <v>1248</v>
      </c>
      <c r="J12" s="1132" t="s">
        <v>138</v>
      </c>
      <c r="K12" s="1084">
        <v>1</v>
      </c>
      <c r="L12" s="1085">
        <v>0.5</v>
      </c>
      <c r="M12" s="1086">
        <v>0</v>
      </c>
      <c r="N12" s="860">
        <v>0</v>
      </c>
      <c r="O12" s="3080"/>
      <c r="P12" s="1081">
        <v>91316656</v>
      </c>
      <c r="Q12" s="1081">
        <v>91316656</v>
      </c>
      <c r="R12" s="1081">
        <v>0</v>
      </c>
      <c r="S12" s="1081">
        <v>0</v>
      </c>
      <c r="T12" s="2853">
        <f t="shared" si="2"/>
        <v>0</v>
      </c>
      <c r="U12" s="2853">
        <f t="shared" si="2"/>
        <v>0</v>
      </c>
      <c r="V12" s="880"/>
      <c r="W12" s="880"/>
      <c r="X12" s="880"/>
      <c r="Y12" s="3038"/>
    </row>
    <row r="13" spans="1:26" ht="184.8">
      <c r="A13" s="3077"/>
      <c r="B13" s="3077"/>
      <c r="C13" s="3077"/>
      <c r="D13" s="3078"/>
      <c r="E13" s="1076" t="s">
        <v>1250</v>
      </c>
      <c r="F13" s="879"/>
      <c r="G13" s="3082"/>
      <c r="H13" s="852"/>
      <c r="I13" s="1082" t="s">
        <v>1251</v>
      </c>
      <c r="J13" s="1132" t="s">
        <v>207</v>
      </c>
      <c r="K13" s="1084">
        <v>1</v>
      </c>
      <c r="L13" s="1085">
        <v>0.5</v>
      </c>
      <c r="M13" s="1087">
        <v>0</v>
      </c>
      <c r="N13" s="1088">
        <v>0.125</v>
      </c>
      <c r="O13" s="3081"/>
      <c r="P13" s="1081">
        <v>108683344</v>
      </c>
      <c r="Q13" s="1081">
        <v>108683344</v>
      </c>
      <c r="R13" s="1081">
        <v>25996000</v>
      </c>
      <c r="S13" s="1081">
        <v>19497000</v>
      </c>
      <c r="T13" s="2853">
        <f t="shared" si="2"/>
        <v>0.23919028475973284</v>
      </c>
      <c r="U13" s="2853">
        <f t="shared" si="2"/>
        <v>0.75</v>
      </c>
      <c r="V13" s="1089">
        <v>45316</v>
      </c>
      <c r="W13" s="1089">
        <v>45657</v>
      </c>
      <c r="X13" s="857" t="s">
        <v>1252</v>
      </c>
      <c r="Y13" s="3039"/>
    </row>
    <row r="14" spans="1:26" ht="15.6">
      <c r="A14" s="1021"/>
      <c r="B14" s="1064">
        <v>5402</v>
      </c>
      <c r="C14" s="1064" t="s">
        <v>115</v>
      </c>
      <c r="D14" s="1016" t="s">
        <v>118</v>
      </c>
      <c r="E14" s="1076"/>
      <c r="F14" s="865"/>
      <c r="G14" s="1067"/>
      <c r="H14" s="1068"/>
      <c r="I14" s="1067"/>
      <c r="J14" s="1067"/>
      <c r="K14" s="1083"/>
      <c r="L14" s="1083"/>
      <c r="M14" s="853"/>
      <c r="N14" s="1090"/>
      <c r="O14" s="2851"/>
      <c r="P14" s="1083"/>
      <c r="Q14" s="1024"/>
      <c r="R14" s="1024"/>
      <c r="S14" s="880"/>
      <c r="T14" s="880"/>
      <c r="U14" s="880"/>
      <c r="V14" s="880"/>
      <c r="W14" s="880"/>
      <c r="X14" s="880"/>
      <c r="Y14" s="1067"/>
    </row>
    <row r="15" spans="1:26">
      <c r="A15" s="1021"/>
      <c r="B15" s="1071">
        <v>5402001</v>
      </c>
      <c r="C15" s="1071" t="s">
        <v>116</v>
      </c>
      <c r="D15" s="1072" t="s">
        <v>119</v>
      </c>
      <c r="E15" s="1076"/>
      <c r="F15" s="1092"/>
      <c r="G15" s="1065"/>
      <c r="H15" s="859"/>
      <c r="I15" s="1093"/>
      <c r="J15" s="1093"/>
      <c r="K15" s="865"/>
      <c r="L15" s="865"/>
      <c r="M15" s="853"/>
      <c r="N15" s="1091"/>
      <c r="O15" s="2851"/>
      <c r="P15" s="1070"/>
      <c r="Q15" s="1024"/>
      <c r="R15" s="1024"/>
      <c r="S15" s="880"/>
      <c r="T15" s="880"/>
      <c r="U15" s="880"/>
      <c r="V15" s="880"/>
      <c r="W15" s="880"/>
      <c r="X15" s="880"/>
      <c r="Y15" s="1093"/>
    </row>
    <row r="16" spans="1:26">
      <c r="A16" s="1021"/>
      <c r="B16" s="1074">
        <v>54020010004</v>
      </c>
      <c r="C16" s="1074" t="s">
        <v>117</v>
      </c>
      <c r="D16" s="846" t="s">
        <v>1253</v>
      </c>
      <c r="E16" s="1076"/>
      <c r="F16" s="1094"/>
      <c r="G16" s="1095"/>
      <c r="H16" s="1096"/>
      <c r="I16" s="1095"/>
      <c r="J16" s="1095"/>
      <c r="K16" s="1095"/>
      <c r="L16" s="880"/>
      <c r="M16" s="853"/>
      <c r="N16" s="1091"/>
      <c r="O16" s="2851"/>
      <c r="P16" s="1070"/>
      <c r="Q16" s="1024"/>
      <c r="R16" s="1024"/>
      <c r="S16" s="880"/>
      <c r="T16" s="880"/>
      <c r="U16" s="880"/>
      <c r="V16" s="880"/>
      <c r="W16" s="880"/>
      <c r="X16" s="880"/>
      <c r="Y16" s="1067"/>
    </row>
    <row r="17" spans="1:25">
      <c r="A17" s="3041">
        <v>4137</v>
      </c>
      <c r="B17" s="3041"/>
      <c r="C17" s="3041" t="s">
        <v>502</v>
      </c>
      <c r="D17" s="3042" t="s">
        <v>1254</v>
      </c>
      <c r="E17" s="1076" t="s">
        <v>1255</v>
      </c>
      <c r="F17" s="1094"/>
      <c r="G17" s="1095"/>
      <c r="H17" s="1096"/>
      <c r="I17" s="1095"/>
      <c r="J17" s="1095"/>
      <c r="K17" s="1095">
        <f>+K18</f>
        <v>4</v>
      </c>
      <c r="L17" s="1097">
        <f t="shared" ref="L17" si="3">+L18+L19</f>
        <v>1</v>
      </c>
      <c r="M17" s="1080">
        <v>0</v>
      </c>
      <c r="N17" s="861">
        <f>+N18+N19</f>
        <v>0.02</v>
      </c>
      <c r="O17" s="3079">
        <f>IF(Q17&gt;0,N17,"na")</f>
        <v>0.02</v>
      </c>
      <c r="P17" s="1081">
        <f t="shared" ref="P17:S17" si="4">+P18+P19</f>
        <v>238448000</v>
      </c>
      <c r="Q17" s="1081">
        <f t="shared" si="4"/>
        <v>238448000</v>
      </c>
      <c r="R17" s="1081">
        <f t="shared" si="4"/>
        <v>13077500</v>
      </c>
      <c r="S17" s="1081">
        <f t="shared" si="4"/>
        <v>2615500</v>
      </c>
      <c r="T17" s="77">
        <f t="shared" ref="T17:U19" si="5">IF(Q17=0,0,R17/Q17)</f>
        <v>5.4844242769912101E-2</v>
      </c>
      <c r="U17" s="77">
        <f t="shared" si="5"/>
        <v>0.2</v>
      </c>
      <c r="V17" s="880"/>
      <c r="W17" s="880"/>
      <c r="X17" s="880"/>
      <c r="Y17" s="3037" t="s">
        <v>1249</v>
      </c>
    </row>
    <row r="18" spans="1:25" ht="66" customHeight="1">
      <c r="A18" s="3077"/>
      <c r="B18" s="3077"/>
      <c r="C18" s="3077"/>
      <c r="D18" s="3077"/>
      <c r="E18" s="1098" t="s">
        <v>1256</v>
      </c>
      <c r="F18" s="1094"/>
      <c r="G18" s="1095" t="s">
        <v>1257</v>
      </c>
      <c r="H18" s="1096"/>
      <c r="I18" s="1095" t="s">
        <v>1258</v>
      </c>
      <c r="J18" s="1095" t="s">
        <v>1259</v>
      </c>
      <c r="K18" s="1095">
        <v>4</v>
      </c>
      <c r="L18" s="1097">
        <v>0.6</v>
      </c>
      <c r="M18" s="1086">
        <v>0</v>
      </c>
      <c r="N18" s="860">
        <v>0</v>
      </c>
      <c r="O18" s="3080"/>
      <c r="P18" s="1081">
        <v>122648724</v>
      </c>
      <c r="Q18" s="1081">
        <v>122648724</v>
      </c>
      <c r="R18" s="1081">
        <v>0</v>
      </c>
      <c r="S18" s="1081">
        <v>0</v>
      </c>
      <c r="T18" s="2853">
        <f t="shared" si="5"/>
        <v>0</v>
      </c>
      <c r="U18" s="2853">
        <f t="shared" si="5"/>
        <v>0</v>
      </c>
      <c r="V18" s="880"/>
      <c r="W18" s="880"/>
      <c r="X18" s="880"/>
      <c r="Y18" s="3038"/>
    </row>
    <row r="19" spans="1:25" ht="92.4">
      <c r="A19" s="3077"/>
      <c r="B19" s="3077"/>
      <c r="C19" s="3077"/>
      <c r="D19" s="3077"/>
      <c r="E19" s="1094" t="s">
        <v>1260</v>
      </c>
      <c r="F19" s="1094"/>
      <c r="G19" s="1095"/>
      <c r="H19" s="1096"/>
      <c r="I19" s="1095" t="s">
        <v>1261</v>
      </c>
      <c r="J19" s="1095" t="s">
        <v>135</v>
      </c>
      <c r="K19" s="1095">
        <v>26</v>
      </c>
      <c r="L19" s="1097">
        <v>0.4</v>
      </c>
      <c r="M19" s="1087">
        <v>0</v>
      </c>
      <c r="N19" s="1085">
        <v>0.02</v>
      </c>
      <c r="O19" s="3081"/>
      <c r="P19" s="1081">
        <v>115799276</v>
      </c>
      <c r="Q19" s="1081">
        <v>115799276</v>
      </c>
      <c r="R19" s="1081">
        <v>13077500</v>
      </c>
      <c r="S19" s="1081">
        <v>2615500</v>
      </c>
      <c r="T19" s="2853">
        <f t="shared" si="5"/>
        <v>0.11293248500102884</v>
      </c>
      <c r="U19" s="2853">
        <f t="shared" si="5"/>
        <v>0.2</v>
      </c>
      <c r="V19" s="1089">
        <v>45350</v>
      </c>
      <c r="W19" s="1089">
        <v>45657</v>
      </c>
      <c r="X19" s="857" t="s">
        <v>1262</v>
      </c>
      <c r="Y19" s="3039"/>
    </row>
    <row r="20" spans="1:25">
      <c r="A20" s="1071"/>
      <c r="B20" s="1074">
        <v>54020010009</v>
      </c>
      <c r="C20" s="1074" t="s">
        <v>117</v>
      </c>
      <c r="D20" s="846" t="s">
        <v>1263</v>
      </c>
      <c r="E20" s="1094"/>
      <c r="F20" s="1099"/>
      <c r="G20" s="1095"/>
      <c r="H20" s="1096"/>
      <c r="I20" s="1095"/>
      <c r="J20" s="1095"/>
      <c r="K20" s="1095"/>
      <c r="L20" s="1095"/>
      <c r="M20" s="880"/>
      <c r="N20" s="1027"/>
      <c r="O20" s="2666"/>
      <c r="P20" s="1067"/>
      <c r="Q20" s="1024"/>
      <c r="R20" s="1024"/>
      <c r="S20" s="880"/>
      <c r="T20" s="880"/>
      <c r="U20" s="880"/>
      <c r="V20" s="880"/>
      <c r="W20" s="880"/>
      <c r="X20" s="880"/>
      <c r="Y20" s="1067"/>
    </row>
    <row r="21" spans="1:25" ht="14.4" customHeight="1">
      <c r="A21" s="3041">
        <v>4137</v>
      </c>
      <c r="B21" s="3041"/>
      <c r="C21" s="3041" t="s">
        <v>502</v>
      </c>
      <c r="D21" s="3066" t="s">
        <v>1264</v>
      </c>
      <c r="E21" s="1076" t="s">
        <v>1265</v>
      </c>
      <c r="F21" s="1094"/>
      <c r="G21" s="1095"/>
      <c r="H21" s="1096"/>
      <c r="I21" s="1095"/>
      <c r="J21" s="1095"/>
      <c r="K21" s="1095">
        <f t="shared" ref="K21:L21" si="6">+K22</f>
        <v>500</v>
      </c>
      <c r="L21" s="1097">
        <f t="shared" si="6"/>
        <v>1</v>
      </c>
      <c r="M21" s="1080">
        <v>0</v>
      </c>
      <c r="N21" s="861">
        <f>+N22+N23</f>
        <v>0</v>
      </c>
      <c r="O21" s="3084">
        <f>IF(Q21&gt;0,N21,"na")</f>
        <v>0</v>
      </c>
      <c r="P21" s="1081">
        <f>+P22</f>
        <v>70000000</v>
      </c>
      <c r="Q21" s="1081">
        <f t="shared" ref="Q21:S21" si="7">+Q22</f>
        <v>70000000</v>
      </c>
      <c r="R21" s="1081">
        <f t="shared" si="7"/>
        <v>0</v>
      </c>
      <c r="S21" s="1081">
        <f t="shared" si="7"/>
        <v>0</v>
      </c>
      <c r="T21" s="77">
        <f t="shared" ref="T21:U22" si="8">IF(Q21=0,0,R21/Q21)</f>
        <v>0</v>
      </c>
      <c r="U21" s="77">
        <f t="shared" si="8"/>
        <v>0</v>
      </c>
      <c r="V21" s="880"/>
      <c r="W21" s="880"/>
      <c r="X21" s="880"/>
      <c r="Y21" s="3089" t="s">
        <v>1269</v>
      </c>
    </row>
    <row r="22" spans="1:25" ht="52.8" customHeight="1">
      <c r="A22" s="3077"/>
      <c r="B22" s="3077"/>
      <c r="C22" s="3077"/>
      <c r="D22" s="3077"/>
      <c r="E22" s="879" t="s">
        <v>1266</v>
      </c>
      <c r="F22" s="1094"/>
      <c r="G22" s="1095" t="s">
        <v>1267</v>
      </c>
      <c r="H22" s="1096"/>
      <c r="I22" s="1095" t="s">
        <v>1268</v>
      </c>
      <c r="J22" s="1095" t="s">
        <v>120</v>
      </c>
      <c r="K22" s="1100">
        <v>500</v>
      </c>
      <c r="L22" s="1097">
        <v>1</v>
      </c>
      <c r="M22" s="1086">
        <v>0</v>
      </c>
      <c r="N22" s="860">
        <v>0</v>
      </c>
      <c r="O22" s="3085"/>
      <c r="P22" s="1081">
        <v>70000000</v>
      </c>
      <c r="Q22" s="1081">
        <v>70000000</v>
      </c>
      <c r="R22" s="1024">
        <v>0</v>
      </c>
      <c r="S22" s="880">
        <v>0</v>
      </c>
      <c r="T22" s="2853">
        <f t="shared" si="8"/>
        <v>0</v>
      </c>
      <c r="U22" s="2853">
        <f t="shared" si="8"/>
        <v>0</v>
      </c>
      <c r="V22" s="880"/>
      <c r="W22" s="880"/>
      <c r="X22" s="880"/>
      <c r="Y22" s="3090"/>
    </row>
    <row r="23" spans="1:25">
      <c r="A23" s="1071"/>
      <c r="B23" s="1074">
        <v>54020010011</v>
      </c>
      <c r="C23" s="1074" t="s">
        <v>117</v>
      </c>
      <c r="D23" s="846" t="s">
        <v>1270</v>
      </c>
      <c r="E23" s="1076"/>
      <c r="F23" s="1094"/>
      <c r="G23" s="1095"/>
      <c r="H23" s="1096"/>
      <c r="I23" s="1095"/>
      <c r="J23" s="1095"/>
      <c r="K23" s="1095"/>
      <c r="L23" s="1095"/>
      <c r="M23" s="880"/>
      <c r="N23" s="1027"/>
      <c r="O23" s="2666"/>
      <c r="P23" s="1081"/>
      <c r="Q23" s="1024"/>
      <c r="R23" s="1024"/>
      <c r="S23" s="880"/>
      <c r="T23" s="880"/>
      <c r="U23" s="880"/>
      <c r="V23" s="880"/>
      <c r="W23" s="880"/>
      <c r="X23" s="880"/>
      <c r="Y23" s="857"/>
    </row>
    <row r="24" spans="1:25" ht="14.4" customHeight="1">
      <c r="A24" s="3041">
        <v>4137</v>
      </c>
      <c r="B24" s="3041"/>
      <c r="C24" s="3041" t="s">
        <v>502</v>
      </c>
      <c r="D24" s="3066" t="s">
        <v>1271</v>
      </c>
      <c r="E24" s="1076" t="s">
        <v>1272</v>
      </c>
      <c r="F24" s="1094"/>
      <c r="G24" s="1095"/>
      <c r="H24" s="1096"/>
      <c r="I24" s="1095"/>
      <c r="J24" s="1095"/>
      <c r="K24" s="1095">
        <v>1</v>
      </c>
      <c r="L24" s="1097">
        <f>+L25</f>
        <v>1</v>
      </c>
      <c r="M24" s="1080">
        <v>0</v>
      </c>
      <c r="N24" s="861">
        <f>+N25+N26</f>
        <v>0</v>
      </c>
      <c r="O24" s="3084">
        <f>IF(Q24&gt;0,N24,"na")</f>
        <v>0</v>
      </c>
      <c r="P24" s="1081">
        <f>+P25</f>
        <v>50000000</v>
      </c>
      <c r="Q24" s="1081">
        <f t="shared" ref="Q24:S24" si="9">+Q25</f>
        <v>50000000</v>
      </c>
      <c r="R24" s="1081">
        <f t="shared" si="9"/>
        <v>0</v>
      </c>
      <c r="S24" s="1081">
        <f t="shared" si="9"/>
        <v>0</v>
      </c>
      <c r="T24" s="77">
        <f t="shared" ref="T24:U25" si="10">IF(Q24=0,0,R24/Q24)</f>
        <v>0</v>
      </c>
      <c r="U24" s="77">
        <f t="shared" si="10"/>
        <v>0</v>
      </c>
      <c r="V24" s="880"/>
      <c r="W24" s="880"/>
      <c r="X24" s="880"/>
      <c r="Y24" s="3089" t="s">
        <v>1269</v>
      </c>
    </row>
    <row r="25" spans="1:25" ht="66">
      <c r="A25" s="3077"/>
      <c r="B25" s="3077"/>
      <c r="C25" s="3077"/>
      <c r="D25" s="3077"/>
      <c r="E25" s="879" t="s">
        <v>1273</v>
      </c>
      <c r="F25" s="1094"/>
      <c r="G25" s="1095" t="s">
        <v>1274</v>
      </c>
      <c r="H25" s="1096"/>
      <c r="I25" s="1095" t="s">
        <v>1275</v>
      </c>
      <c r="J25" s="1095" t="s">
        <v>1276</v>
      </c>
      <c r="K25" s="1095">
        <v>1</v>
      </c>
      <c r="L25" s="1097">
        <v>1</v>
      </c>
      <c r="M25" s="1086">
        <v>0</v>
      </c>
      <c r="N25" s="860">
        <v>0</v>
      </c>
      <c r="O25" s="3085"/>
      <c r="P25" s="1081">
        <v>50000000</v>
      </c>
      <c r="Q25" s="1081">
        <v>50000000</v>
      </c>
      <c r="R25" s="1024">
        <v>0</v>
      </c>
      <c r="S25" s="880">
        <v>0</v>
      </c>
      <c r="T25" s="2853">
        <f t="shared" si="10"/>
        <v>0</v>
      </c>
      <c r="U25" s="2853">
        <f t="shared" si="10"/>
        <v>0</v>
      </c>
      <c r="V25" s="880"/>
      <c r="W25" s="880"/>
      <c r="X25" s="880"/>
      <c r="Y25" s="3090"/>
    </row>
    <row r="26" spans="1:25" ht="27.6">
      <c r="A26" s="1071"/>
      <c r="B26" s="1074">
        <v>54020010012</v>
      </c>
      <c r="C26" s="1074" t="s">
        <v>117</v>
      </c>
      <c r="D26" s="846" t="s">
        <v>1277</v>
      </c>
      <c r="E26" s="1067"/>
      <c r="F26" s="1094"/>
      <c r="G26" s="1067"/>
      <c r="H26" s="1068"/>
      <c r="I26" s="1067"/>
      <c r="J26" s="1067"/>
      <c r="K26" s="1101"/>
      <c r="L26" s="1101"/>
      <c r="M26" s="880"/>
      <c r="N26" s="1027"/>
      <c r="O26" s="2666"/>
      <c r="P26" s="1067"/>
      <c r="Q26" s="1024"/>
      <c r="R26" s="1024"/>
      <c r="S26" s="880"/>
      <c r="T26" s="880"/>
      <c r="U26" s="880"/>
      <c r="V26" s="880"/>
      <c r="W26" s="880"/>
      <c r="X26" s="880"/>
      <c r="Y26" s="1067"/>
    </row>
    <row r="27" spans="1:25">
      <c r="A27" s="3076">
        <v>4137</v>
      </c>
      <c r="B27" s="3076"/>
      <c r="C27" s="3076" t="s">
        <v>502</v>
      </c>
      <c r="D27" s="3076" t="s">
        <v>1278</v>
      </c>
      <c r="E27" s="879" t="s">
        <v>1279</v>
      </c>
      <c r="F27" s="865"/>
      <c r="G27" s="1067"/>
      <c r="H27" s="1068"/>
      <c r="I27" s="1067"/>
      <c r="J27" s="1067"/>
      <c r="K27" s="1095">
        <f>+K28</f>
        <v>4</v>
      </c>
      <c r="L27" s="1097">
        <f t="shared" ref="L27" si="11">+L28+L29</f>
        <v>1</v>
      </c>
      <c r="M27" s="1080">
        <v>0</v>
      </c>
      <c r="N27" s="861">
        <f>+N28+N29</f>
        <v>0</v>
      </c>
      <c r="O27" s="3079">
        <f>IF(Q27&gt;0,N27,"na")</f>
        <v>0</v>
      </c>
      <c r="P27" s="1081">
        <f>+P28+P29</f>
        <v>120000000</v>
      </c>
      <c r="Q27" s="1081">
        <f t="shared" ref="Q27:S27" si="12">+Q28+Q29</f>
        <v>120000000</v>
      </c>
      <c r="R27" s="1081">
        <f t="shared" si="12"/>
        <v>0</v>
      </c>
      <c r="S27" s="1081">
        <f t="shared" si="12"/>
        <v>0</v>
      </c>
      <c r="T27" s="77">
        <f t="shared" ref="T27:U29" si="13">IF(Q27=0,0,R27/Q27)</f>
        <v>0</v>
      </c>
      <c r="U27" s="77">
        <f t="shared" si="13"/>
        <v>0</v>
      </c>
      <c r="V27" s="880"/>
      <c r="W27" s="880"/>
      <c r="X27" s="880"/>
      <c r="Y27" s="3089" t="s">
        <v>1269</v>
      </c>
    </row>
    <row r="28" spans="1:25" ht="92.4" customHeight="1">
      <c r="A28" s="3077"/>
      <c r="B28" s="3077"/>
      <c r="C28" s="3077"/>
      <c r="D28" s="3077"/>
      <c r="E28" s="879" t="s">
        <v>1280</v>
      </c>
      <c r="F28" s="865"/>
      <c r="G28" s="1095" t="s">
        <v>1277</v>
      </c>
      <c r="H28" s="1096"/>
      <c r="I28" s="1095" t="s">
        <v>1281</v>
      </c>
      <c r="J28" s="1095" t="s">
        <v>1282</v>
      </c>
      <c r="K28" s="1095">
        <v>4</v>
      </c>
      <c r="L28" s="1097">
        <v>0.5</v>
      </c>
      <c r="M28" s="1086">
        <v>0</v>
      </c>
      <c r="N28" s="860">
        <v>0</v>
      </c>
      <c r="O28" s="3080"/>
      <c r="P28" s="1081">
        <v>100000000</v>
      </c>
      <c r="Q28" s="1081">
        <v>100000000</v>
      </c>
      <c r="R28" s="1024">
        <v>0</v>
      </c>
      <c r="S28" s="880">
        <v>0</v>
      </c>
      <c r="T28" s="2853">
        <f t="shared" si="13"/>
        <v>0</v>
      </c>
      <c r="U28" s="2853">
        <f t="shared" si="13"/>
        <v>0</v>
      </c>
      <c r="V28" s="880"/>
      <c r="W28" s="880"/>
      <c r="X28" s="880"/>
      <c r="Y28" s="3091"/>
    </row>
    <row r="29" spans="1:25" ht="79.2">
      <c r="A29" s="3077"/>
      <c r="B29" s="3077"/>
      <c r="C29" s="3077"/>
      <c r="D29" s="3077"/>
      <c r="E29" s="879" t="s">
        <v>1283</v>
      </c>
      <c r="F29" s="865"/>
      <c r="G29" s="1095"/>
      <c r="H29" s="1096"/>
      <c r="I29" s="1095" t="s">
        <v>1284</v>
      </c>
      <c r="J29" s="1095" t="s">
        <v>139</v>
      </c>
      <c r="K29" s="1095">
        <v>1</v>
      </c>
      <c r="L29" s="1097">
        <v>0.5</v>
      </c>
      <c r="M29" s="1087">
        <v>0</v>
      </c>
      <c r="N29" s="1085">
        <v>0</v>
      </c>
      <c r="O29" s="3081"/>
      <c r="P29" s="1081">
        <v>20000000</v>
      </c>
      <c r="Q29" s="1081">
        <v>20000000</v>
      </c>
      <c r="R29" s="1024">
        <v>0</v>
      </c>
      <c r="S29" s="880">
        <v>0</v>
      </c>
      <c r="T29" s="2853">
        <f t="shared" si="13"/>
        <v>0</v>
      </c>
      <c r="U29" s="2853">
        <f t="shared" si="13"/>
        <v>0</v>
      </c>
      <c r="V29" s="880"/>
      <c r="W29" s="880"/>
      <c r="X29" s="880"/>
      <c r="Y29" s="3090"/>
    </row>
    <row r="30" spans="1:25" ht="27.6">
      <c r="A30" s="1071"/>
      <c r="B30" s="1074">
        <v>54020010017</v>
      </c>
      <c r="C30" s="1074" t="s">
        <v>117</v>
      </c>
      <c r="D30" s="846" t="s">
        <v>1285</v>
      </c>
      <c r="E30" s="1076"/>
      <c r="F30" s="1102"/>
      <c r="G30" s="1095"/>
      <c r="H30" s="1096"/>
      <c r="I30" s="1095"/>
      <c r="J30" s="1095"/>
      <c r="K30" s="1095"/>
      <c r="L30" s="1095"/>
      <c r="M30" s="880"/>
      <c r="N30" s="1027"/>
      <c r="O30" s="2666"/>
      <c r="P30" s="1067"/>
      <c r="Q30" s="1024"/>
      <c r="R30" s="1024"/>
      <c r="S30" s="880"/>
      <c r="T30" s="880"/>
      <c r="U30" s="880"/>
      <c r="V30" s="880"/>
      <c r="W30" s="880"/>
      <c r="X30" s="880"/>
      <c r="Y30" s="1067"/>
    </row>
    <row r="31" spans="1:25" ht="14.4" customHeight="1">
      <c r="A31" s="3041">
        <v>4137</v>
      </c>
      <c r="B31" s="3041"/>
      <c r="C31" s="3041" t="s">
        <v>502</v>
      </c>
      <c r="D31" s="3066" t="s">
        <v>1286</v>
      </c>
      <c r="E31" s="1076" t="s">
        <v>1287</v>
      </c>
      <c r="F31" s="865"/>
      <c r="G31" s="1095"/>
      <c r="H31" s="1096"/>
      <c r="I31" s="1095"/>
      <c r="J31" s="1095"/>
      <c r="K31" s="1095">
        <f t="shared" ref="K31:L31" si="14">+K32</f>
        <v>4</v>
      </c>
      <c r="L31" s="1097">
        <f t="shared" si="14"/>
        <v>1</v>
      </c>
      <c r="M31" s="1080">
        <v>0</v>
      </c>
      <c r="N31" s="861">
        <f>+N32+N33</f>
        <v>0</v>
      </c>
      <c r="O31" s="3084">
        <f>IF(Q31&gt;0,N31,"na")</f>
        <v>0</v>
      </c>
      <c r="P31" s="1081">
        <f t="shared" ref="P31:S31" si="15">+P32</f>
        <v>47272000</v>
      </c>
      <c r="Q31" s="1081">
        <f t="shared" si="15"/>
        <v>47272000</v>
      </c>
      <c r="R31" s="1081">
        <f t="shared" si="15"/>
        <v>23539500</v>
      </c>
      <c r="S31" s="1081">
        <f t="shared" si="15"/>
        <v>2615500</v>
      </c>
      <c r="T31" s="77">
        <f t="shared" ref="T31:U32" si="16">IF(Q31=0,0,R31/Q31)</f>
        <v>0.49795862244034522</v>
      </c>
      <c r="U31" s="77">
        <f t="shared" si="16"/>
        <v>0.1111111111111111</v>
      </c>
      <c r="V31" s="880"/>
      <c r="W31" s="880"/>
      <c r="X31" s="880"/>
      <c r="Y31" s="3037" t="s">
        <v>1249</v>
      </c>
    </row>
    <row r="32" spans="1:25" ht="105.6">
      <c r="A32" s="3077"/>
      <c r="B32" s="3077"/>
      <c r="C32" s="3077"/>
      <c r="D32" s="3077"/>
      <c r="E32" s="1094" t="s">
        <v>1288</v>
      </c>
      <c r="F32" s="1094"/>
      <c r="G32" s="1095" t="s">
        <v>1285</v>
      </c>
      <c r="H32" s="1096"/>
      <c r="I32" s="1095" t="s">
        <v>1289</v>
      </c>
      <c r="J32" s="1095" t="s">
        <v>135</v>
      </c>
      <c r="K32" s="1095">
        <v>4</v>
      </c>
      <c r="L32" s="1103">
        <v>1</v>
      </c>
      <c r="M32" s="1086">
        <v>0</v>
      </c>
      <c r="N32" s="860">
        <v>0</v>
      </c>
      <c r="O32" s="3085"/>
      <c r="P32" s="1081">
        <v>47272000</v>
      </c>
      <c r="Q32" s="1081">
        <v>47272000</v>
      </c>
      <c r="R32" s="1081">
        <v>23539500</v>
      </c>
      <c r="S32" s="880">
        <v>2615500</v>
      </c>
      <c r="T32" s="2853">
        <f t="shared" si="16"/>
        <v>0.49795862244034522</v>
      </c>
      <c r="U32" s="2853">
        <f t="shared" si="16"/>
        <v>0.1111111111111111</v>
      </c>
      <c r="V32" s="1089">
        <v>45350</v>
      </c>
      <c r="W32" s="1089">
        <v>45657</v>
      </c>
      <c r="X32" s="857" t="s">
        <v>1290</v>
      </c>
      <c r="Y32" s="3039"/>
    </row>
    <row r="33" spans="1:25" ht="27.6">
      <c r="A33" s="1071"/>
      <c r="B33" s="1074">
        <v>54020010020</v>
      </c>
      <c r="C33" s="1074" t="s">
        <v>117</v>
      </c>
      <c r="D33" s="846" t="s">
        <v>1291</v>
      </c>
      <c r="E33" s="1076"/>
      <c r="F33" s="1094"/>
      <c r="G33" s="1095"/>
      <c r="H33" s="1096"/>
      <c r="I33" s="1095"/>
      <c r="J33" s="1095"/>
      <c r="K33" s="1095"/>
      <c r="L33" s="1095"/>
      <c r="M33" s="880"/>
      <c r="N33" s="1027"/>
      <c r="O33" s="2666"/>
      <c r="P33" s="1067"/>
      <c r="Q33" s="1024"/>
      <c r="R33" s="1024"/>
      <c r="S33" s="880"/>
      <c r="T33" s="880"/>
      <c r="U33" s="880"/>
      <c r="V33" s="880"/>
      <c r="W33" s="880"/>
      <c r="X33" s="880"/>
      <c r="Y33" s="858"/>
    </row>
    <row r="34" spans="1:25">
      <c r="A34" s="3041">
        <v>4137</v>
      </c>
      <c r="B34" s="3041"/>
      <c r="C34" s="3041" t="s">
        <v>502</v>
      </c>
      <c r="D34" s="3066" t="s">
        <v>1292</v>
      </c>
      <c r="E34" s="1076" t="s">
        <v>1293</v>
      </c>
      <c r="F34" s="1094"/>
      <c r="G34" s="1095"/>
      <c r="H34" s="1096"/>
      <c r="I34" s="1095"/>
      <c r="J34" s="1095"/>
      <c r="K34" s="1104">
        <f>K35+K36</f>
        <v>2</v>
      </c>
      <c r="L34" s="1097">
        <v>1</v>
      </c>
      <c r="M34" s="1080">
        <v>0</v>
      </c>
      <c r="N34" s="861">
        <f>+N35+N36</f>
        <v>0</v>
      </c>
      <c r="O34" s="3079">
        <f>IF(Q34&gt;0,N34,"na")</f>
        <v>0</v>
      </c>
      <c r="P34" s="1081">
        <f>+P35+P36</f>
        <v>50000000</v>
      </c>
      <c r="Q34" s="1081">
        <f t="shared" ref="Q34:S34" si="17">+Q35+Q36</f>
        <v>50000000</v>
      </c>
      <c r="R34" s="1081">
        <f t="shared" si="17"/>
        <v>0</v>
      </c>
      <c r="S34" s="1081">
        <f t="shared" si="17"/>
        <v>0</v>
      </c>
      <c r="T34" s="77">
        <f t="shared" ref="T34:U36" si="18">IF(Q34=0,0,R34/Q34)</f>
        <v>0</v>
      </c>
      <c r="U34" s="77">
        <f t="shared" si="18"/>
        <v>0</v>
      </c>
      <c r="V34" s="880"/>
      <c r="W34" s="880"/>
      <c r="X34" s="857"/>
      <c r="Y34" s="3037" t="s">
        <v>1249</v>
      </c>
    </row>
    <row r="35" spans="1:25" ht="105.6">
      <c r="A35" s="3077"/>
      <c r="B35" s="3077"/>
      <c r="C35" s="3077"/>
      <c r="D35" s="3077"/>
      <c r="E35" s="1098" t="s">
        <v>1294</v>
      </c>
      <c r="F35" s="1094"/>
      <c r="G35" s="3069" t="s">
        <v>1291</v>
      </c>
      <c r="H35" s="1105"/>
      <c r="I35" s="1095" t="s">
        <v>1295</v>
      </c>
      <c r="J35" s="1095" t="s">
        <v>1296</v>
      </c>
      <c r="K35" s="1095">
        <v>1</v>
      </c>
      <c r="L35" s="1097">
        <v>0.5</v>
      </c>
      <c r="M35" s="1086">
        <v>0</v>
      </c>
      <c r="N35" s="860">
        <v>0</v>
      </c>
      <c r="O35" s="3080"/>
      <c r="P35" s="1081">
        <v>21974000</v>
      </c>
      <c r="Q35" s="1081">
        <v>21974000</v>
      </c>
      <c r="R35" s="1081">
        <v>0</v>
      </c>
      <c r="S35" s="1081">
        <v>0</v>
      </c>
      <c r="T35" s="2853">
        <f t="shared" si="18"/>
        <v>0</v>
      </c>
      <c r="U35" s="2853">
        <f t="shared" si="18"/>
        <v>0</v>
      </c>
      <c r="V35" s="880"/>
      <c r="W35" s="880"/>
      <c r="X35" s="857"/>
      <c r="Y35" s="3038"/>
    </row>
    <row r="36" spans="1:25" ht="79.2">
      <c r="A36" s="3077"/>
      <c r="B36" s="3077"/>
      <c r="C36" s="3077"/>
      <c r="D36" s="3077"/>
      <c r="E36" s="1094" t="s">
        <v>1297</v>
      </c>
      <c r="F36" s="1094"/>
      <c r="G36" s="3086"/>
      <c r="H36" s="1105"/>
      <c r="I36" s="1095" t="s">
        <v>1298</v>
      </c>
      <c r="J36" s="1095" t="s">
        <v>136</v>
      </c>
      <c r="K36" s="1104">
        <v>1</v>
      </c>
      <c r="L36" s="1097">
        <v>0.5</v>
      </c>
      <c r="M36" s="1087">
        <v>0</v>
      </c>
      <c r="N36" s="1085">
        <v>0</v>
      </c>
      <c r="O36" s="3081"/>
      <c r="P36" s="1081">
        <v>28026000</v>
      </c>
      <c r="Q36" s="1081">
        <v>28026000</v>
      </c>
      <c r="R36" s="1081">
        <v>0</v>
      </c>
      <c r="S36" s="1081">
        <v>0</v>
      </c>
      <c r="T36" s="2853">
        <f t="shared" si="18"/>
        <v>0</v>
      </c>
      <c r="U36" s="2853">
        <f t="shared" si="18"/>
        <v>0</v>
      </c>
      <c r="V36" s="880"/>
      <c r="W36" s="880"/>
      <c r="X36" s="857"/>
      <c r="Y36" s="3039"/>
    </row>
    <row r="37" spans="1:25">
      <c r="A37" s="1071"/>
      <c r="B37" s="1074">
        <v>54020010024</v>
      </c>
      <c r="C37" s="1074" t="s">
        <v>117</v>
      </c>
      <c r="D37" s="846" t="s">
        <v>1299</v>
      </c>
      <c r="E37" s="1076"/>
      <c r="F37" s="858"/>
      <c r="G37" s="880"/>
      <c r="H37" s="1105"/>
      <c r="I37" s="880"/>
      <c r="J37" s="880"/>
      <c r="K37" s="880"/>
      <c r="L37" s="880"/>
      <c r="M37" s="880"/>
      <c r="N37" s="1027"/>
      <c r="O37" s="2852"/>
      <c r="P37" s="1067"/>
      <c r="Q37" s="1024"/>
      <c r="R37" s="1024"/>
      <c r="S37" s="880"/>
      <c r="T37" s="2854"/>
      <c r="U37" s="2854"/>
      <c r="V37" s="880"/>
      <c r="W37" s="880"/>
      <c r="X37" s="857"/>
      <c r="Y37" s="1067"/>
    </row>
    <row r="38" spans="1:25" ht="14.4" customHeight="1">
      <c r="A38" s="3041">
        <v>4137</v>
      </c>
      <c r="B38" s="3041"/>
      <c r="C38" s="3041" t="s">
        <v>502</v>
      </c>
      <c r="D38" s="3066" t="s">
        <v>1300</v>
      </c>
      <c r="E38" s="1076" t="s">
        <v>1301</v>
      </c>
      <c r="F38" s="1106"/>
      <c r="G38" s="1107"/>
      <c r="H38" s="852"/>
      <c r="I38" s="880"/>
      <c r="J38" s="880"/>
      <c r="K38" s="1095">
        <f t="shared" ref="K38:L38" si="19">+K39</f>
        <v>1</v>
      </c>
      <c r="L38" s="1097">
        <f t="shared" si="19"/>
        <v>1</v>
      </c>
      <c r="M38" s="1080">
        <v>0</v>
      </c>
      <c r="N38" s="861">
        <f>+N39+N40</f>
        <v>0.16</v>
      </c>
      <c r="O38" s="3084">
        <f>IF(Q38&gt;0,N38,"na")</f>
        <v>0.16</v>
      </c>
      <c r="P38" s="1081">
        <f t="shared" ref="P38:S38" si="20">+P39</f>
        <v>120000000</v>
      </c>
      <c r="Q38" s="1081">
        <f t="shared" si="20"/>
        <v>120000000</v>
      </c>
      <c r="R38" s="1081">
        <f t="shared" si="20"/>
        <v>41848000</v>
      </c>
      <c r="S38" s="1081">
        <f t="shared" si="20"/>
        <v>31386000</v>
      </c>
      <c r="T38" s="77">
        <f t="shared" ref="T38:U39" si="21">IF(Q38=0,0,R38/Q38)</f>
        <v>0.34873333333333334</v>
      </c>
      <c r="U38" s="77">
        <f t="shared" si="21"/>
        <v>0.75</v>
      </c>
      <c r="V38" s="880"/>
      <c r="W38" s="880"/>
      <c r="X38" s="857"/>
      <c r="Y38" s="3089" t="s">
        <v>1269</v>
      </c>
    </row>
    <row r="39" spans="1:25" ht="145.19999999999999">
      <c r="A39" s="3077"/>
      <c r="B39" s="3077"/>
      <c r="C39" s="3077"/>
      <c r="D39" s="3077"/>
      <c r="E39" s="1098" t="s">
        <v>1302</v>
      </c>
      <c r="F39" s="879"/>
      <c r="G39" s="857" t="s">
        <v>1299</v>
      </c>
      <c r="H39" s="852"/>
      <c r="I39" s="857" t="s">
        <v>1303</v>
      </c>
      <c r="J39" s="857" t="s">
        <v>136</v>
      </c>
      <c r="K39" s="880">
        <v>1</v>
      </c>
      <c r="L39" s="1097">
        <v>1</v>
      </c>
      <c r="M39" s="1086">
        <v>0</v>
      </c>
      <c r="N39" s="860">
        <v>0.16</v>
      </c>
      <c r="O39" s="3085"/>
      <c r="P39" s="1081">
        <v>120000000</v>
      </c>
      <c r="Q39" s="1081">
        <v>120000000</v>
      </c>
      <c r="R39" s="1081">
        <v>41848000</v>
      </c>
      <c r="S39" s="1081">
        <v>31386000</v>
      </c>
      <c r="T39" s="2853">
        <f t="shared" si="21"/>
        <v>0.34873333333333334</v>
      </c>
      <c r="U39" s="2853">
        <f t="shared" si="21"/>
        <v>0.75</v>
      </c>
      <c r="V39" s="1089">
        <v>45315</v>
      </c>
      <c r="W39" s="1089">
        <v>45657</v>
      </c>
      <c r="X39" s="857" t="s">
        <v>1304</v>
      </c>
      <c r="Y39" s="3090"/>
    </row>
    <row r="40" spans="1:25" ht="27.6">
      <c r="A40" s="879"/>
      <c r="B40" s="1074">
        <v>54020010025</v>
      </c>
      <c r="C40" s="1074" t="s">
        <v>117</v>
      </c>
      <c r="D40" s="846" t="s">
        <v>1305</v>
      </c>
      <c r="E40" s="1076"/>
      <c r="F40" s="1108"/>
      <c r="G40" s="853"/>
      <c r="H40" s="852"/>
      <c r="I40" s="880"/>
      <c r="J40" s="880"/>
      <c r="K40" s="1109"/>
      <c r="L40" s="1030"/>
      <c r="M40" s="880"/>
      <c r="N40" s="1027"/>
      <c r="O40" s="2852"/>
      <c r="P40" s="1067"/>
      <c r="Q40" s="1024"/>
      <c r="R40" s="1024"/>
      <c r="S40" s="880"/>
      <c r="T40" s="2854"/>
      <c r="U40" s="2854"/>
      <c r="V40" s="880"/>
      <c r="W40" s="880"/>
      <c r="X40" s="857"/>
      <c r="Y40" s="1067"/>
    </row>
    <row r="41" spans="1:25" ht="14.4" customHeight="1">
      <c r="A41" s="3041">
        <v>4137</v>
      </c>
      <c r="B41" s="3041"/>
      <c r="C41" s="3041" t="s">
        <v>502</v>
      </c>
      <c r="D41" s="3076" t="s">
        <v>1306</v>
      </c>
      <c r="E41" s="1076" t="s">
        <v>1307</v>
      </c>
      <c r="F41" s="1107"/>
      <c r="G41" s="853"/>
      <c r="H41" s="1105"/>
      <c r="I41" s="880"/>
      <c r="J41" s="880"/>
      <c r="K41" s="1109">
        <v>10</v>
      </c>
      <c r="L41" s="1027">
        <f>SUM(L42:L43)</f>
        <v>1</v>
      </c>
      <c r="M41" s="1080">
        <v>0</v>
      </c>
      <c r="N41" s="861">
        <f>+N42+N43</f>
        <v>0.1</v>
      </c>
      <c r="O41" s="3084">
        <f>IF(Q41&gt;0,N41,"na")</f>
        <v>0.1</v>
      </c>
      <c r="P41" s="1081">
        <f>+P42</f>
        <v>238920000</v>
      </c>
      <c r="Q41" s="1081">
        <f t="shared" ref="Q41:S41" si="22">+Q42</f>
        <v>238920000</v>
      </c>
      <c r="R41" s="1081">
        <f t="shared" si="22"/>
        <v>13077500</v>
      </c>
      <c r="S41" s="1081">
        <f t="shared" si="22"/>
        <v>2615500</v>
      </c>
      <c r="T41" s="77">
        <f t="shared" ref="T41:U42" si="23">IF(Q41=0,0,R41/Q41)</f>
        <v>5.4735894860204255E-2</v>
      </c>
      <c r="U41" s="77">
        <f t="shared" si="23"/>
        <v>0.2</v>
      </c>
      <c r="V41" s="880"/>
      <c r="W41" s="880"/>
      <c r="X41" s="857"/>
      <c r="Y41" s="3037" t="s">
        <v>1249</v>
      </c>
    </row>
    <row r="42" spans="1:25" ht="92.4">
      <c r="A42" s="3077"/>
      <c r="B42" s="3077"/>
      <c r="C42" s="3077"/>
      <c r="D42" s="3077"/>
      <c r="E42" s="1098" t="s">
        <v>1308</v>
      </c>
      <c r="F42" s="1107"/>
      <c r="G42" s="857" t="s">
        <v>1305</v>
      </c>
      <c r="H42" s="1105"/>
      <c r="I42" s="857" t="s">
        <v>1309</v>
      </c>
      <c r="J42" s="857" t="s">
        <v>1259</v>
      </c>
      <c r="K42" s="1109">
        <v>10</v>
      </c>
      <c r="L42" s="1027">
        <v>1</v>
      </c>
      <c r="M42" s="1086">
        <v>1</v>
      </c>
      <c r="N42" s="860">
        <v>0.1</v>
      </c>
      <c r="O42" s="3085"/>
      <c r="P42" s="1081">
        <v>238920000</v>
      </c>
      <c r="Q42" s="1081">
        <v>238920000</v>
      </c>
      <c r="R42" s="1081">
        <v>13077500</v>
      </c>
      <c r="S42" s="1081">
        <v>2615500</v>
      </c>
      <c r="T42" s="2853">
        <f t="shared" si="23"/>
        <v>5.4735894860204255E-2</v>
      </c>
      <c r="U42" s="2853">
        <f t="shared" si="23"/>
        <v>0.2</v>
      </c>
      <c r="V42" s="1089">
        <v>45350</v>
      </c>
      <c r="W42" s="1089">
        <v>45657</v>
      </c>
      <c r="X42" s="857" t="s">
        <v>1310</v>
      </c>
      <c r="Y42" s="3039"/>
    </row>
    <row r="43" spans="1:25">
      <c r="A43" s="1071"/>
      <c r="B43" s="1074">
        <v>54020010033</v>
      </c>
      <c r="C43" s="1074" t="s">
        <v>117</v>
      </c>
      <c r="D43" s="846" t="s">
        <v>1311</v>
      </c>
      <c r="E43" s="1076"/>
      <c r="F43" s="858"/>
      <c r="G43" s="857"/>
      <c r="H43" s="852"/>
      <c r="I43" s="857"/>
      <c r="J43" s="857"/>
      <c r="K43" s="853"/>
      <c r="L43" s="1110"/>
      <c r="M43" s="880"/>
      <c r="N43" s="1027"/>
      <c r="O43" s="2852"/>
      <c r="P43" s="1067"/>
      <c r="Q43" s="1024"/>
      <c r="R43" s="1024"/>
      <c r="S43" s="880"/>
      <c r="T43" s="2854"/>
      <c r="U43" s="2854"/>
      <c r="V43" s="880"/>
      <c r="W43" s="880"/>
      <c r="X43" s="857"/>
      <c r="Y43" s="1067"/>
    </row>
    <row r="44" spans="1:25">
      <c r="A44" s="3041">
        <v>4137</v>
      </c>
      <c r="B44" s="3041"/>
      <c r="C44" s="3041" t="s">
        <v>502</v>
      </c>
      <c r="D44" s="3066" t="s">
        <v>1312</v>
      </c>
      <c r="E44" s="1076" t="s">
        <v>1313</v>
      </c>
      <c r="F44" s="1108"/>
      <c r="G44" s="857"/>
      <c r="H44" s="852"/>
      <c r="I44" s="857"/>
      <c r="J44" s="857"/>
      <c r="K44" s="853">
        <v>1</v>
      </c>
      <c r="L44" s="869">
        <f>SUM(L45:L46)</f>
        <v>1</v>
      </c>
      <c r="M44" s="1080">
        <v>0</v>
      </c>
      <c r="N44" s="861">
        <f>+N45+N46</f>
        <v>4.8999999999999998E-3</v>
      </c>
      <c r="O44" s="3079">
        <f>IF(Q44&gt;0,N44,"na")</f>
        <v>4.8999999999999998E-3</v>
      </c>
      <c r="P44" s="1081">
        <f>+P45+P46</f>
        <v>162880000</v>
      </c>
      <c r="Q44" s="1081">
        <f t="shared" ref="Q44:S44" si="24">+Q45+Q46</f>
        <v>162880000</v>
      </c>
      <c r="R44" s="1081">
        <f t="shared" si="24"/>
        <v>25044000</v>
      </c>
      <c r="S44" s="1081">
        <f t="shared" si="24"/>
        <v>13314000</v>
      </c>
      <c r="T44" s="77">
        <f t="shared" ref="T44:U46" si="25">IF(Q44=0,0,R44/Q44)</f>
        <v>0.15375736738703341</v>
      </c>
      <c r="U44" s="77">
        <f t="shared" si="25"/>
        <v>0.53162434115955914</v>
      </c>
      <c r="V44" s="880"/>
      <c r="W44" s="880"/>
      <c r="X44" s="857"/>
      <c r="Y44" s="3037" t="s">
        <v>1316</v>
      </c>
    </row>
    <row r="45" spans="1:25" ht="92.4">
      <c r="A45" s="3077"/>
      <c r="B45" s="3077"/>
      <c r="C45" s="3077"/>
      <c r="D45" s="3077"/>
      <c r="E45" s="1098" t="s">
        <v>1314</v>
      </c>
      <c r="F45" s="858"/>
      <c r="G45" s="857"/>
      <c r="H45" s="852"/>
      <c r="I45" s="857" t="s">
        <v>1315</v>
      </c>
      <c r="J45" s="857" t="s">
        <v>135</v>
      </c>
      <c r="K45" s="853">
        <v>26</v>
      </c>
      <c r="L45" s="869">
        <v>0.3</v>
      </c>
      <c r="M45" s="1086">
        <v>0</v>
      </c>
      <c r="N45" s="860">
        <v>0</v>
      </c>
      <c r="O45" s="3080"/>
      <c r="P45" s="1081">
        <v>49000000</v>
      </c>
      <c r="Q45" s="1081">
        <v>49000000</v>
      </c>
      <c r="R45" s="1081">
        <v>0</v>
      </c>
      <c r="S45" s="1081">
        <v>0</v>
      </c>
      <c r="T45" s="2853">
        <f t="shared" si="25"/>
        <v>0</v>
      </c>
      <c r="U45" s="2853">
        <f t="shared" si="25"/>
        <v>0</v>
      </c>
      <c r="V45" s="880"/>
      <c r="W45" s="880"/>
      <c r="X45" s="857"/>
      <c r="Y45" s="3038"/>
    </row>
    <row r="46" spans="1:25" ht="79.2">
      <c r="A46" s="3077"/>
      <c r="B46" s="3077"/>
      <c r="C46" s="3077"/>
      <c r="D46" s="3077"/>
      <c r="E46" s="858" t="s">
        <v>1317</v>
      </c>
      <c r="F46" s="858"/>
      <c r="G46" s="857" t="s">
        <v>1318</v>
      </c>
      <c r="H46" s="852"/>
      <c r="I46" s="857" t="s">
        <v>1319</v>
      </c>
      <c r="J46" s="857" t="s">
        <v>136</v>
      </c>
      <c r="K46" s="853">
        <v>1</v>
      </c>
      <c r="L46" s="869">
        <v>0.7</v>
      </c>
      <c r="M46" s="1087">
        <v>0</v>
      </c>
      <c r="N46" s="1111">
        <v>4.8999999999999998E-3</v>
      </c>
      <c r="O46" s="3081"/>
      <c r="P46" s="1081">
        <v>113880000</v>
      </c>
      <c r="Q46" s="1081">
        <v>113880000</v>
      </c>
      <c r="R46" s="1081">
        <v>25044000</v>
      </c>
      <c r="S46" s="1081">
        <v>13314000</v>
      </c>
      <c r="T46" s="2853">
        <f t="shared" si="25"/>
        <v>0.21991570073761854</v>
      </c>
      <c r="U46" s="2853">
        <f t="shared" si="25"/>
        <v>0.53162434115955914</v>
      </c>
      <c r="V46" s="1089">
        <v>45315</v>
      </c>
      <c r="W46" s="1089">
        <v>45657</v>
      </c>
      <c r="X46" s="857" t="s">
        <v>1320</v>
      </c>
      <c r="Y46" s="3039"/>
    </row>
    <row r="47" spans="1:25">
      <c r="A47" s="879"/>
      <c r="B47" s="1074">
        <v>54020010034</v>
      </c>
      <c r="C47" s="1074" t="s">
        <v>117</v>
      </c>
      <c r="D47" s="846" t="s">
        <v>1321</v>
      </c>
      <c r="E47" s="1076"/>
      <c r="F47" s="858"/>
      <c r="G47" s="857"/>
      <c r="H47" s="852"/>
      <c r="I47" s="857"/>
      <c r="J47" s="857"/>
      <c r="K47" s="853"/>
      <c r="L47" s="1110"/>
      <c r="M47" s="880"/>
      <c r="N47" s="1027"/>
      <c r="O47" s="2852"/>
      <c r="P47" s="1067"/>
      <c r="Q47" s="1024"/>
      <c r="R47" s="1024"/>
      <c r="S47" s="880"/>
      <c r="T47" s="2854"/>
      <c r="U47" s="2854"/>
      <c r="V47" s="880"/>
      <c r="W47" s="880"/>
      <c r="X47" s="857"/>
      <c r="Y47" s="1067"/>
    </row>
    <row r="48" spans="1:25">
      <c r="A48" s="3041">
        <v>4137</v>
      </c>
      <c r="B48" s="3041"/>
      <c r="C48" s="3041" t="s">
        <v>502</v>
      </c>
      <c r="D48" s="3066" t="s">
        <v>1322</v>
      </c>
      <c r="E48" s="1076" t="s">
        <v>1323</v>
      </c>
      <c r="F48" s="1108"/>
      <c r="G48" s="857"/>
      <c r="H48" s="852"/>
      <c r="I48" s="857"/>
      <c r="J48" s="857"/>
      <c r="K48" s="853">
        <f>+K50</f>
        <v>11</v>
      </c>
      <c r="L48" s="869">
        <f>SUM(L49:L50)</f>
        <v>1</v>
      </c>
      <c r="M48" s="1080">
        <v>0</v>
      </c>
      <c r="N48" s="861">
        <f>+N49+N50</f>
        <v>0.1411</v>
      </c>
      <c r="O48" s="3079">
        <f>IF(Q48&gt;0,N48,"na")</f>
        <v>0.1411</v>
      </c>
      <c r="P48" s="1081">
        <f>+P49+P50</f>
        <v>163560000</v>
      </c>
      <c r="Q48" s="1081">
        <f t="shared" ref="Q48:S48" si="26">+Q49+Q50</f>
        <v>163560000</v>
      </c>
      <c r="R48" s="1081">
        <f t="shared" si="26"/>
        <v>86201000</v>
      </c>
      <c r="S48" s="1081">
        <f t="shared" si="26"/>
        <v>33986000</v>
      </c>
      <c r="T48" s="77">
        <f t="shared" ref="T48:U50" si="27">IF(Q48=0,0,R48/Q48)</f>
        <v>0.52702983614575694</v>
      </c>
      <c r="U48" s="77">
        <f t="shared" si="27"/>
        <v>0.39426456769643042</v>
      </c>
      <c r="V48" s="880"/>
      <c r="W48" s="880"/>
      <c r="X48" s="857"/>
      <c r="Y48" s="3037" t="s">
        <v>1316</v>
      </c>
    </row>
    <row r="49" spans="1:25" ht="92.4">
      <c r="A49" s="3077"/>
      <c r="B49" s="3077"/>
      <c r="C49" s="3077"/>
      <c r="D49" s="3077"/>
      <c r="E49" s="1098" t="s">
        <v>1324</v>
      </c>
      <c r="F49" s="858"/>
      <c r="G49" s="857"/>
      <c r="H49" s="852"/>
      <c r="I49" s="857" t="s">
        <v>1325</v>
      </c>
      <c r="J49" s="857" t="s">
        <v>135</v>
      </c>
      <c r="K49" s="853">
        <v>14</v>
      </c>
      <c r="L49" s="869">
        <v>0.4</v>
      </c>
      <c r="M49" s="1086">
        <v>3</v>
      </c>
      <c r="N49" s="860">
        <v>8.5699999999999998E-2</v>
      </c>
      <c r="O49" s="3080"/>
      <c r="P49" s="1081">
        <v>65000000</v>
      </c>
      <c r="Q49" s="1081">
        <v>65000000</v>
      </c>
      <c r="R49" s="1081">
        <v>29168000</v>
      </c>
      <c r="S49" s="1081">
        <v>7292000</v>
      </c>
      <c r="T49" s="2853">
        <f t="shared" si="27"/>
        <v>0.44873846153846153</v>
      </c>
      <c r="U49" s="2853">
        <f t="shared" si="27"/>
        <v>0.25</v>
      </c>
      <c r="V49" s="1089">
        <v>45350</v>
      </c>
      <c r="W49" s="1089">
        <v>45657</v>
      </c>
      <c r="X49" s="857" t="s">
        <v>1326</v>
      </c>
      <c r="Y49" s="3038"/>
    </row>
    <row r="50" spans="1:25" ht="79.2" customHeight="1">
      <c r="A50" s="3077"/>
      <c r="B50" s="3077"/>
      <c r="C50" s="3077"/>
      <c r="D50" s="3077"/>
      <c r="E50" s="1098" t="s">
        <v>1327</v>
      </c>
      <c r="F50" s="858"/>
      <c r="G50" s="857" t="s">
        <v>1328</v>
      </c>
      <c r="H50" s="852"/>
      <c r="I50" s="857" t="s">
        <v>1329</v>
      </c>
      <c r="J50" s="857" t="s">
        <v>136</v>
      </c>
      <c r="K50" s="853">
        <v>11</v>
      </c>
      <c r="L50" s="869">
        <v>0.6</v>
      </c>
      <c r="M50" s="1087">
        <v>1</v>
      </c>
      <c r="N50" s="1085">
        <v>5.5399999999999998E-2</v>
      </c>
      <c r="O50" s="3081"/>
      <c r="P50" s="1081">
        <v>98560000</v>
      </c>
      <c r="Q50" s="1081">
        <v>98560000</v>
      </c>
      <c r="R50" s="1081">
        <v>57033000</v>
      </c>
      <c r="S50" s="1081">
        <v>26694000</v>
      </c>
      <c r="T50" s="2853">
        <f t="shared" si="27"/>
        <v>0.57866274350649349</v>
      </c>
      <c r="U50" s="2853">
        <f t="shared" si="27"/>
        <v>0.46804481615906579</v>
      </c>
      <c r="V50" s="1089">
        <v>45315</v>
      </c>
      <c r="W50" s="1089">
        <v>45657</v>
      </c>
      <c r="X50" s="857" t="s">
        <v>1330</v>
      </c>
      <c r="Y50" s="3039"/>
    </row>
    <row r="51" spans="1:25">
      <c r="A51" s="879"/>
      <c r="B51" s="1074">
        <v>54020010038</v>
      </c>
      <c r="C51" s="1074" t="s">
        <v>117</v>
      </c>
      <c r="D51" s="846" t="s">
        <v>1331</v>
      </c>
      <c r="E51" s="1076"/>
      <c r="F51" s="1107"/>
      <c r="G51" s="857"/>
      <c r="H51" s="852"/>
      <c r="I51" s="857"/>
      <c r="J51" s="857"/>
      <c r="K51" s="853"/>
      <c r="L51" s="1110"/>
      <c r="M51" s="880"/>
      <c r="N51" s="1027"/>
      <c r="O51" s="2852"/>
      <c r="P51" s="1067"/>
      <c r="Q51" s="1024"/>
      <c r="R51" s="1024"/>
      <c r="S51" s="880"/>
      <c r="T51" s="2854"/>
      <c r="U51" s="2854"/>
      <c r="V51" s="880"/>
      <c r="W51" s="880"/>
      <c r="X51" s="857"/>
      <c r="Y51" s="1067"/>
    </row>
    <row r="52" spans="1:25">
      <c r="A52" s="3041">
        <v>4137</v>
      </c>
      <c r="B52" s="3041"/>
      <c r="C52" s="3041" t="s">
        <v>502</v>
      </c>
      <c r="D52" s="3066" t="s">
        <v>1332</v>
      </c>
      <c r="E52" s="1076" t="s">
        <v>1333</v>
      </c>
      <c r="F52" s="858"/>
      <c r="G52" s="857"/>
      <c r="H52" s="852"/>
      <c r="I52" s="857"/>
      <c r="J52" s="857"/>
      <c r="K52" s="853">
        <v>1</v>
      </c>
      <c r="L52" s="869">
        <f>SUM(L53:L54)</f>
        <v>1</v>
      </c>
      <c r="M52" s="1080">
        <v>0</v>
      </c>
      <c r="N52" s="861">
        <f>+N53+N54</f>
        <v>0.33</v>
      </c>
      <c r="O52" s="3079">
        <f>IF(Q52&gt;0,N52,"na")</f>
        <v>0.33</v>
      </c>
      <c r="P52" s="1081">
        <f>+P53+P54</f>
        <v>192845526</v>
      </c>
      <c r="Q52" s="1081">
        <f t="shared" ref="Q52:S52" si="28">+Q53+Q54</f>
        <v>192845526</v>
      </c>
      <c r="R52" s="1081">
        <f t="shared" si="28"/>
        <v>73744566</v>
      </c>
      <c r="S52" s="1081">
        <f t="shared" si="28"/>
        <v>16456000</v>
      </c>
      <c r="T52" s="77">
        <f t="shared" ref="T52:U54" si="29">IF(Q52=0,0,R52/Q52)</f>
        <v>0.38240226532400862</v>
      </c>
      <c r="U52" s="77">
        <f t="shared" si="29"/>
        <v>0.2231486452845895</v>
      </c>
      <c r="V52" s="880"/>
      <c r="W52" s="880"/>
      <c r="X52" s="857"/>
      <c r="Y52" s="3037" t="s">
        <v>1316</v>
      </c>
    </row>
    <row r="53" spans="1:25" ht="79.2" customHeight="1">
      <c r="A53" s="3077"/>
      <c r="B53" s="3077"/>
      <c r="C53" s="3077"/>
      <c r="D53" s="3077"/>
      <c r="E53" s="1098" t="s">
        <v>1334</v>
      </c>
      <c r="F53" s="858"/>
      <c r="G53" s="857"/>
      <c r="H53" s="852"/>
      <c r="I53" s="857" t="s">
        <v>1335</v>
      </c>
      <c r="J53" s="857" t="s">
        <v>1336</v>
      </c>
      <c r="K53" s="853">
        <v>1500</v>
      </c>
      <c r="L53" s="869">
        <v>0.2</v>
      </c>
      <c r="M53" s="1086">
        <v>0</v>
      </c>
      <c r="N53" s="860">
        <v>0</v>
      </c>
      <c r="O53" s="3080"/>
      <c r="P53" s="1081">
        <v>1000000</v>
      </c>
      <c r="Q53" s="1081">
        <v>1000000</v>
      </c>
      <c r="R53" s="1081">
        <v>0</v>
      </c>
      <c r="S53" s="1081">
        <v>0</v>
      </c>
      <c r="T53" s="2853">
        <f t="shared" si="29"/>
        <v>0</v>
      </c>
      <c r="U53" s="2853">
        <f t="shared" si="29"/>
        <v>0</v>
      </c>
      <c r="V53" s="880"/>
      <c r="W53" s="880"/>
      <c r="X53" s="857"/>
      <c r="Y53" s="3038"/>
    </row>
    <row r="54" spans="1:25" ht="145.19999999999999">
      <c r="A54" s="3077"/>
      <c r="B54" s="3077"/>
      <c r="C54" s="3077"/>
      <c r="D54" s="3077"/>
      <c r="E54" s="1098" t="s">
        <v>1337</v>
      </c>
      <c r="F54" s="858"/>
      <c r="G54" s="857" t="s">
        <v>1338</v>
      </c>
      <c r="H54" s="852"/>
      <c r="I54" s="857" t="s">
        <v>1339</v>
      </c>
      <c r="J54" s="857" t="s">
        <v>1340</v>
      </c>
      <c r="K54" s="853">
        <v>1</v>
      </c>
      <c r="L54" s="869">
        <v>0.8</v>
      </c>
      <c r="M54" s="1087">
        <v>0</v>
      </c>
      <c r="N54" s="1085">
        <v>0.33</v>
      </c>
      <c r="O54" s="3081"/>
      <c r="P54" s="1081">
        <v>191845526</v>
      </c>
      <c r="Q54" s="1081">
        <v>191845526</v>
      </c>
      <c r="R54" s="1081">
        <v>73744566</v>
      </c>
      <c r="S54" s="1081">
        <v>16456000</v>
      </c>
      <c r="T54" s="2853">
        <f t="shared" si="29"/>
        <v>0.38439554748855598</v>
      </c>
      <c r="U54" s="2853">
        <f t="shared" si="29"/>
        <v>0.2231486452845895</v>
      </c>
      <c r="V54" s="1089">
        <v>45352</v>
      </c>
      <c r="W54" s="1089">
        <v>45657</v>
      </c>
      <c r="X54" s="857" t="s">
        <v>1341</v>
      </c>
      <c r="Y54" s="3039"/>
    </row>
    <row r="55" spans="1:25" ht="15.6">
      <c r="A55" s="1021"/>
      <c r="B55" s="1064">
        <v>5403</v>
      </c>
      <c r="C55" s="1064" t="s">
        <v>115</v>
      </c>
      <c r="D55" s="1024" t="s">
        <v>535</v>
      </c>
      <c r="E55" s="1076"/>
      <c r="F55" s="879"/>
      <c r="G55" s="880"/>
      <c r="H55" s="1105"/>
      <c r="I55" s="880"/>
      <c r="J55" s="880"/>
      <c r="K55" s="880"/>
      <c r="L55" s="880"/>
      <c r="M55" s="880"/>
      <c r="N55" s="1027"/>
      <c r="O55" s="2852"/>
      <c r="P55" s="880"/>
      <c r="Q55" s="1024"/>
      <c r="R55" s="1024"/>
      <c r="S55" s="880"/>
      <c r="T55" s="2854"/>
      <c r="U55" s="2854"/>
      <c r="V55" s="880"/>
      <c r="W55" s="880"/>
      <c r="X55" s="857"/>
      <c r="Y55" s="1067"/>
    </row>
    <row r="56" spans="1:25">
      <c r="A56" s="1021"/>
      <c r="B56" s="1071">
        <v>5403001</v>
      </c>
      <c r="C56" s="1071" t="s">
        <v>116</v>
      </c>
      <c r="D56" s="1024" t="s">
        <v>536</v>
      </c>
      <c r="E56" s="1076"/>
      <c r="F56" s="879"/>
      <c r="G56" s="880"/>
      <c r="H56" s="1105"/>
      <c r="I56" s="880"/>
      <c r="J56" s="880"/>
      <c r="K56" s="880"/>
      <c r="L56" s="880"/>
      <c r="M56" s="880"/>
      <c r="N56" s="1027"/>
      <c r="O56" s="2852"/>
      <c r="P56" s="880"/>
      <c r="Q56" s="1024"/>
      <c r="R56" s="1024"/>
      <c r="S56" s="880"/>
      <c r="T56" s="2854"/>
      <c r="U56" s="2854"/>
      <c r="V56" s="880"/>
      <c r="W56" s="880"/>
      <c r="X56" s="857"/>
      <c r="Y56" s="1067"/>
    </row>
    <row r="57" spans="1:25">
      <c r="A57" s="1071"/>
      <c r="B57" s="1074">
        <v>54030010013</v>
      </c>
      <c r="C57" s="1074" t="s">
        <v>117</v>
      </c>
      <c r="D57" s="846" t="s">
        <v>1342</v>
      </c>
      <c r="E57" s="1076"/>
      <c r="F57" s="858"/>
      <c r="G57" s="857"/>
      <c r="H57" s="852"/>
      <c r="I57" s="857"/>
      <c r="J57" s="857"/>
      <c r="K57" s="857"/>
      <c r="L57" s="857"/>
      <c r="M57" s="880"/>
      <c r="N57" s="1027"/>
      <c r="O57" s="2852"/>
      <c r="P57" s="857"/>
      <c r="Q57" s="1024"/>
      <c r="R57" s="1024"/>
      <c r="S57" s="880"/>
      <c r="T57" s="2854"/>
      <c r="U57" s="2854"/>
      <c r="V57" s="880"/>
      <c r="W57" s="880"/>
      <c r="X57" s="857"/>
      <c r="Y57" s="1067"/>
    </row>
    <row r="58" spans="1:25">
      <c r="A58" s="3041">
        <v>4137</v>
      </c>
      <c r="B58" s="3041"/>
      <c r="C58" s="3041" t="s">
        <v>502</v>
      </c>
      <c r="D58" s="3066" t="s">
        <v>1343</v>
      </c>
      <c r="E58" s="1076" t="s">
        <v>1344</v>
      </c>
      <c r="F58" s="858"/>
      <c r="G58" s="857"/>
      <c r="H58" s="852"/>
      <c r="I58" s="857"/>
      <c r="J58" s="857"/>
      <c r="K58" s="853">
        <f>+K60</f>
        <v>1</v>
      </c>
      <c r="L58" s="869">
        <f t="shared" ref="L58" si="30">L59+L60</f>
        <v>1</v>
      </c>
      <c r="M58" s="1080">
        <v>0</v>
      </c>
      <c r="N58" s="861">
        <f>+N59+N60</f>
        <v>3.8500000000000001E-3</v>
      </c>
      <c r="O58" s="3079">
        <f>IF(Q58&gt;0,N58,"na")</f>
        <v>3.8500000000000001E-3</v>
      </c>
      <c r="P58" s="1081">
        <f>+P59+P60</f>
        <v>163560000</v>
      </c>
      <c r="Q58" s="1081">
        <f t="shared" ref="Q58:S58" si="31">+Q59+Q60</f>
        <v>163560000</v>
      </c>
      <c r="R58" s="1081">
        <f t="shared" si="31"/>
        <v>33285000</v>
      </c>
      <c r="S58" s="1081">
        <f t="shared" si="31"/>
        <v>13314000</v>
      </c>
      <c r="T58" s="77">
        <f t="shared" ref="T58:U60" si="32">IF(Q58=0,0,R58/Q58)</f>
        <v>0.20350330154071899</v>
      </c>
      <c r="U58" s="77">
        <f t="shared" si="32"/>
        <v>0.4</v>
      </c>
      <c r="V58" s="880"/>
      <c r="W58" s="880"/>
      <c r="X58" s="857"/>
      <c r="Y58" s="3037" t="s">
        <v>1316</v>
      </c>
    </row>
    <row r="59" spans="1:25" ht="92.4">
      <c r="A59" s="3077"/>
      <c r="B59" s="3077"/>
      <c r="C59" s="3077"/>
      <c r="D59" s="3077"/>
      <c r="E59" s="1098" t="s">
        <v>1345</v>
      </c>
      <c r="F59" s="858"/>
      <c r="G59" s="857"/>
      <c r="H59" s="852"/>
      <c r="I59" s="857" t="s">
        <v>1346</v>
      </c>
      <c r="J59" s="857" t="s">
        <v>135</v>
      </c>
      <c r="K59" s="857">
        <v>26</v>
      </c>
      <c r="L59" s="869">
        <v>0.3</v>
      </c>
      <c r="M59" s="1086">
        <v>1</v>
      </c>
      <c r="N59" s="860">
        <v>3.8E-3</v>
      </c>
      <c r="O59" s="3080"/>
      <c r="P59" s="1081">
        <v>90460000</v>
      </c>
      <c r="Q59" s="1081">
        <v>90460000</v>
      </c>
      <c r="R59" s="1081">
        <v>23435832</v>
      </c>
      <c r="S59" s="1081">
        <v>8389416</v>
      </c>
      <c r="T59" s="2853">
        <f t="shared" si="32"/>
        <v>0.25907397744859606</v>
      </c>
      <c r="U59" s="2853">
        <f t="shared" si="32"/>
        <v>0.35797389228596621</v>
      </c>
      <c r="V59" s="1089">
        <v>45315</v>
      </c>
      <c r="W59" s="1089">
        <v>45657</v>
      </c>
      <c r="X59" s="857" t="s">
        <v>1347</v>
      </c>
      <c r="Y59" s="3038"/>
    </row>
    <row r="60" spans="1:25" ht="105.6">
      <c r="A60" s="3087"/>
      <c r="B60" s="3087"/>
      <c r="C60" s="3087"/>
      <c r="D60" s="3087"/>
      <c r="E60" s="1124" t="s">
        <v>1348</v>
      </c>
      <c r="F60" s="1124"/>
      <c r="G60" s="883" t="s">
        <v>1342</v>
      </c>
      <c r="H60" s="1125"/>
      <c r="I60" s="883" t="s">
        <v>1349</v>
      </c>
      <c r="J60" s="883" t="s">
        <v>136</v>
      </c>
      <c r="K60" s="883">
        <v>1</v>
      </c>
      <c r="L60" s="1126">
        <v>0.7</v>
      </c>
      <c r="M60" s="1127">
        <v>0</v>
      </c>
      <c r="N60" s="1128">
        <v>5.0000000000000002E-5</v>
      </c>
      <c r="O60" s="3088"/>
      <c r="P60" s="1129">
        <v>73100000</v>
      </c>
      <c r="Q60" s="1129">
        <v>73100000</v>
      </c>
      <c r="R60" s="1129">
        <v>9849168</v>
      </c>
      <c r="S60" s="1129">
        <v>4924584</v>
      </c>
      <c r="T60" s="2856">
        <f t="shared" si="32"/>
        <v>0.13473554035567714</v>
      </c>
      <c r="U60" s="2856">
        <f t="shared" si="32"/>
        <v>0.5</v>
      </c>
      <c r="V60" s="1130">
        <v>45315</v>
      </c>
      <c r="W60" s="1130">
        <v>45657</v>
      </c>
      <c r="X60" s="883" t="s">
        <v>1350</v>
      </c>
      <c r="Y60" s="3046"/>
    </row>
    <row r="61" spans="1:25">
      <c r="A61" s="53"/>
      <c r="B61" s="52"/>
      <c r="C61" s="53"/>
      <c r="D61" s="52"/>
      <c r="E61" s="52"/>
      <c r="F61" s="53"/>
      <c r="G61" s="52"/>
      <c r="H61" s="1112"/>
      <c r="I61" s="52"/>
      <c r="J61" s="53"/>
      <c r="K61" s="111"/>
      <c r="L61" s="111"/>
      <c r="M61" s="52"/>
      <c r="N61" s="1131"/>
      <c r="O61" s="1131"/>
      <c r="P61" s="52"/>
      <c r="Q61" s="52"/>
      <c r="R61" s="52"/>
      <c r="S61" s="52"/>
      <c r="T61" s="1757"/>
      <c r="U61" s="1757"/>
      <c r="V61" s="52"/>
      <c r="W61" s="52"/>
      <c r="X61" s="57"/>
      <c r="Y61" s="57"/>
    </row>
    <row r="62" spans="1:25" s="46" customFormat="1">
      <c r="A62" s="53"/>
      <c r="B62" s="52" t="s">
        <v>50</v>
      </c>
      <c r="C62" s="53">
        <f>COUNTIF(C7:C60,"Pr")</f>
        <v>13</v>
      </c>
      <c r="D62" s="52"/>
      <c r="E62" s="416" t="s">
        <v>126</v>
      </c>
      <c r="F62" s="416"/>
      <c r="G62" s="45">
        <f>COUNTIF(O11:O60,"na")</f>
        <v>0</v>
      </c>
      <c r="H62" s="1112"/>
      <c r="I62" s="52"/>
      <c r="J62" s="53"/>
      <c r="K62" s="111"/>
      <c r="L62" s="111"/>
      <c r="M62" s="52"/>
      <c r="N62" s="1131" t="s">
        <v>127</v>
      </c>
      <c r="O62" s="123">
        <f>AVERAGE(O11:O60)</f>
        <v>6.8065384615384611E-2</v>
      </c>
      <c r="P62" s="55">
        <f>+P58+P52+P48+P44+P41+P38+P34+P31+P27+P24+P21+P17+P11</f>
        <v>1817485526</v>
      </c>
      <c r="Q62" s="55">
        <f t="shared" ref="Q62:S62" si="33">+Q58+Q52+Q48+Q44+Q41+Q38+Q34+Q31+Q27+Q24+Q21+Q17+Q11</f>
        <v>1817485526</v>
      </c>
      <c r="R62" s="55">
        <f>+R58+R52+R48+R44+R41+R38+R34+R31+R27+R24+R21+R17+R11</f>
        <v>335813066</v>
      </c>
      <c r="S62" s="55">
        <f t="shared" si="33"/>
        <v>135799500</v>
      </c>
      <c r="T62" s="2855">
        <f>R62/Q62</f>
        <v>0.18476794516161665</v>
      </c>
      <c r="U62" s="2855">
        <f>S62/R62</f>
        <v>0.40439016151920665</v>
      </c>
      <c r="V62" s="52"/>
      <c r="W62" s="52"/>
      <c r="X62" s="57"/>
      <c r="Y62" s="57"/>
    </row>
    <row r="63" spans="1:25" s="46" customFormat="1">
      <c r="A63" s="53"/>
      <c r="B63" s="52"/>
      <c r="C63" s="53"/>
      <c r="D63" s="52"/>
      <c r="E63" s="52"/>
      <c r="F63" s="53"/>
      <c r="G63" s="52"/>
      <c r="H63" s="1112"/>
      <c r="I63" s="52"/>
      <c r="J63" s="53"/>
      <c r="K63" s="111"/>
      <c r="L63" s="111"/>
      <c r="M63" s="52"/>
      <c r="N63" s="112" t="s">
        <v>133</v>
      </c>
      <c r="O63" s="61">
        <f>COUNTIF(O11:O60,"0%")</f>
        <v>5</v>
      </c>
      <c r="P63" s="55">
        <v>1817485526</v>
      </c>
      <c r="Q63" s="55">
        <v>1817485526</v>
      </c>
      <c r="R63" s="55">
        <v>335813066</v>
      </c>
      <c r="S63" s="55">
        <v>135799500</v>
      </c>
      <c r="T63" s="52"/>
      <c r="U63" s="52"/>
      <c r="V63" s="52"/>
      <c r="W63" s="52"/>
      <c r="X63" s="57"/>
      <c r="Y63" s="57"/>
    </row>
  </sheetData>
  <autoFilter ref="A5:Y6" xr:uid="{00000000-0009-0000-0000-00000B000000}"/>
  <mergeCells count="112">
    <mergeCell ref="Y41:Y42"/>
    <mergeCell ref="Y44:Y46"/>
    <mergeCell ref="Y48:Y50"/>
    <mergeCell ref="Y52:Y54"/>
    <mergeCell ref="Y58:Y60"/>
    <mergeCell ref="Y21:Y22"/>
    <mergeCell ref="Y24:Y25"/>
    <mergeCell ref="Y27:Y29"/>
    <mergeCell ref="Y31:Y32"/>
    <mergeCell ref="Y34:Y36"/>
    <mergeCell ref="Y38:Y39"/>
    <mergeCell ref="A58:A60"/>
    <mergeCell ref="B58:B60"/>
    <mergeCell ref="C58:C60"/>
    <mergeCell ref="D58:D60"/>
    <mergeCell ref="O58:O60"/>
    <mergeCell ref="A52:A54"/>
    <mergeCell ref="B52:B54"/>
    <mergeCell ref="C52:C54"/>
    <mergeCell ref="D52:D54"/>
    <mergeCell ref="O52:O54"/>
    <mergeCell ref="A48:A50"/>
    <mergeCell ref="B48:B50"/>
    <mergeCell ref="C48:C50"/>
    <mergeCell ref="D48:D50"/>
    <mergeCell ref="O48:O50"/>
    <mergeCell ref="A44:A46"/>
    <mergeCell ref="B44:B46"/>
    <mergeCell ref="C44:C46"/>
    <mergeCell ref="D44:D46"/>
    <mergeCell ref="O44:O46"/>
    <mergeCell ref="A41:A42"/>
    <mergeCell ref="B41:B42"/>
    <mergeCell ref="C41:C42"/>
    <mergeCell ref="D41:D42"/>
    <mergeCell ref="O41:O42"/>
    <mergeCell ref="A38:A39"/>
    <mergeCell ref="B38:B39"/>
    <mergeCell ref="C38:C39"/>
    <mergeCell ref="D38:D39"/>
    <mergeCell ref="O38:O39"/>
    <mergeCell ref="A34:A36"/>
    <mergeCell ref="B34:B36"/>
    <mergeCell ref="C34:C36"/>
    <mergeCell ref="D34:D36"/>
    <mergeCell ref="O34:O36"/>
    <mergeCell ref="G35:G36"/>
    <mergeCell ref="A31:A32"/>
    <mergeCell ref="B31:B32"/>
    <mergeCell ref="C31:C32"/>
    <mergeCell ref="D31:D32"/>
    <mergeCell ref="O31:O32"/>
    <mergeCell ref="A27:A29"/>
    <mergeCell ref="B27:B29"/>
    <mergeCell ref="C27:C29"/>
    <mergeCell ref="D27:D29"/>
    <mergeCell ref="O27:O29"/>
    <mergeCell ref="A24:A25"/>
    <mergeCell ref="B24:B25"/>
    <mergeCell ref="C24:C25"/>
    <mergeCell ref="D24:D25"/>
    <mergeCell ref="O24:O25"/>
    <mergeCell ref="A21:A22"/>
    <mergeCell ref="B21:B22"/>
    <mergeCell ref="C21:C22"/>
    <mergeCell ref="D21:D22"/>
    <mergeCell ref="O21:O22"/>
    <mergeCell ref="A17:A19"/>
    <mergeCell ref="B17:B19"/>
    <mergeCell ref="C17:C19"/>
    <mergeCell ref="D17:D19"/>
    <mergeCell ref="O17:O19"/>
    <mergeCell ref="Y11:Y13"/>
    <mergeCell ref="Y17:Y19"/>
    <mergeCell ref="A11:A13"/>
    <mergeCell ref="B11:B13"/>
    <mergeCell ref="C11:C13"/>
    <mergeCell ref="D11:D13"/>
    <mergeCell ref="O11:O13"/>
    <mergeCell ref="G12:G13"/>
    <mergeCell ref="A1:X1"/>
    <mergeCell ref="A2:Y2"/>
    <mergeCell ref="A3:B3"/>
    <mergeCell ref="D5:D6"/>
    <mergeCell ref="E5:E6"/>
    <mergeCell ref="Y5:Y6"/>
    <mergeCell ref="S5:S6"/>
    <mergeCell ref="T5:T6"/>
    <mergeCell ref="P5:P6"/>
    <mergeCell ref="A5:A6"/>
    <mergeCell ref="B5:B6"/>
    <mergeCell ref="C5:C6"/>
    <mergeCell ref="X5:X6"/>
    <mergeCell ref="W5:W6"/>
    <mergeCell ref="Q5:Q6"/>
    <mergeCell ref="O5:O6"/>
    <mergeCell ref="F5:F6"/>
    <mergeCell ref="C3:S3"/>
    <mergeCell ref="T3:U3"/>
    <mergeCell ref="A4:X4"/>
    <mergeCell ref="H5:H6"/>
    <mergeCell ref="K5:K6"/>
    <mergeCell ref="V5:V6"/>
    <mergeCell ref="G5:G6"/>
    <mergeCell ref="R5:R6"/>
    <mergeCell ref="I5:I6"/>
    <mergeCell ref="U5:U6"/>
    <mergeCell ref="V3:W3"/>
    <mergeCell ref="L5:L6"/>
    <mergeCell ref="N5:N6"/>
    <mergeCell ref="M5:M6"/>
    <mergeCell ref="J5:J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63"/>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30"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30" ht="25.5" customHeight="1">
      <c r="A2" s="3018"/>
      <c r="B2" s="3019"/>
      <c r="C2" s="3019"/>
      <c r="D2" s="3019"/>
      <c r="E2" s="3019"/>
      <c r="F2" s="3019"/>
      <c r="G2" s="3019"/>
      <c r="H2" s="3019"/>
      <c r="I2" s="3019"/>
      <c r="J2" s="3019"/>
      <c r="K2" s="3019"/>
      <c r="L2" s="3019"/>
      <c r="M2" s="3019"/>
      <c r="N2" s="3019"/>
      <c r="O2" s="3019"/>
      <c r="P2" s="3019"/>
      <c r="Q2" s="3019"/>
      <c r="R2" s="3019"/>
      <c r="S2" s="3019"/>
      <c r="T2" s="3019"/>
      <c r="U2" s="3019"/>
      <c r="V2" s="3019"/>
      <c r="W2" s="3019"/>
      <c r="X2" s="3019"/>
      <c r="Y2" s="3020"/>
    </row>
    <row r="3" spans="1:30" s="150" customFormat="1" ht="20.25" customHeight="1">
      <c r="A3" s="3105" t="s">
        <v>87</v>
      </c>
      <c r="B3" s="3106"/>
      <c r="C3" s="3105" t="s">
        <v>57</v>
      </c>
      <c r="D3" s="3106"/>
      <c r="E3" s="3106"/>
      <c r="F3" s="3106"/>
      <c r="G3" s="3106"/>
      <c r="H3" s="3106"/>
      <c r="I3" s="3106"/>
      <c r="J3" s="3106"/>
      <c r="K3" s="3106"/>
      <c r="L3" s="3106"/>
      <c r="M3" s="3106"/>
      <c r="N3" s="3106"/>
      <c r="O3" s="3106"/>
      <c r="P3" s="3106"/>
      <c r="Q3" s="3106"/>
      <c r="R3" s="3106"/>
      <c r="S3" s="3105" t="s">
        <v>17</v>
      </c>
      <c r="T3" s="3106"/>
      <c r="U3" s="3106"/>
      <c r="V3" s="2877">
        <v>45382</v>
      </c>
      <c r="W3" s="2876"/>
      <c r="X3" s="64" t="s">
        <v>5</v>
      </c>
      <c r="Y3" s="65">
        <v>2024</v>
      </c>
      <c r="Z3" s="60"/>
      <c r="AA3" s="60"/>
      <c r="AB3" s="60"/>
      <c r="AC3" s="60"/>
      <c r="AD3" s="60"/>
    </row>
    <row r="4" spans="1:30" s="150" customFormat="1" ht="19.5" customHeight="1">
      <c r="A4" s="3103"/>
      <c r="B4" s="3103"/>
      <c r="C4" s="3103"/>
      <c r="D4" s="3103"/>
      <c r="E4" s="3103"/>
      <c r="F4" s="3103"/>
      <c r="G4" s="3103"/>
      <c r="H4" s="3103"/>
      <c r="I4" s="3103"/>
      <c r="J4" s="3103"/>
      <c r="K4" s="3103"/>
      <c r="L4" s="3103"/>
      <c r="M4" s="3103"/>
      <c r="N4" s="3103"/>
      <c r="O4" s="3103"/>
      <c r="P4" s="3103"/>
      <c r="Q4" s="3103"/>
      <c r="R4" s="3103"/>
      <c r="S4" s="3103"/>
      <c r="T4" s="3103"/>
      <c r="U4" s="3103"/>
      <c r="V4" s="3103"/>
      <c r="W4" s="3103"/>
      <c r="X4" s="3103"/>
      <c r="Y4" s="3104"/>
      <c r="Z4" s="60"/>
      <c r="AA4" s="60"/>
      <c r="AB4" s="60"/>
      <c r="AC4" s="60"/>
      <c r="AD4" s="60"/>
    </row>
    <row r="5" spans="1:30" s="150" customFormat="1"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c r="Z5" s="60"/>
      <c r="AA5" s="60"/>
      <c r="AB5" s="60"/>
      <c r="AC5" s="60"/>
      <c r="AD5" s="60"/>
    </row>
    <row r="6" spans="1:30" s="150" customFormat="1" ht="42.75" customHeight="1">
      <c r="A6" s="3065"/>
      <c r="B6" s="3065"/>
      <c r="C6" s="3065"/>
      <c r="D6" s="3065"/>
      <c r="E6" s="3065"/>
      <c r="F6" s="3065"/>
      <c r="G6" s="3065"/>
      <c r="H6" s="3065"/>
      <c r="I6" s="3065"/>
      <c r="J6" s="3065"/>
      <c r="K6" s="3065"/>
      <c r="L6" s="3065"/>
      <c r="M6" s="2908"/>
      <c r="N6" s="3063"/>
      <c r="O6" s="3063"/>
      <c r="P6" s="3064"/>
      <c r="Q6" s="3063"/>
      <c r="R6" s="3063"/>
      <c r="S6" s="3063"/>
      <c r="T6" s="3063"/>
      <c r="U6" s="3063"/>
      <c r="V6" s="3064"/>
      <c r="W6" s="3064"/>
      <c r="X6" s="3063"/>
      <c r="Y6" s="2908"/>
      <c r="Z6" s="60"/>
      <c r="AA6" s="60"/>
      <c r="AB6" s="60"/>
      <c r="AC6" s="60"/>
      <c r="AD6" s="60"/>
    </row>
    <row r="7" spans="1:30" ht="15.6">
      <c r="A7" s="1148"/>
      <c r="B7" s="1197">
        <v>51</v>
      </c>
      <c r="C7" s="1197" t="s">
        <v>114</v>
      </c>
      <c r="D7" s="1246" t="s">
        <v>1351</v>
      </c>
      <c r="E7" s="1198"/>
      <c r="F7" s="1198"/>
      <c r="G7" s="1198"/>
      <c r="H7" s="1198"/>
      <c r="I7" s="1198"/>
      <c r="J7" s="1198"/>
      <c r="K7" s="1198"/>
      <c r="L7" s="1199"/>
      <c r="M7" s="1149"/>
      <c r="N7" s="1150"/>
      <c r="O7" s="1150"/>
      <c r="P7" s="1151"/>
      <c r="Q7" s="1151"/>
      <c r="R7" s="1151"/>
      <c r="S7" s="1151"/>
      <c r="T7" s="1152"/>
      <c r="U7" s="1152"/>
      <c r="V7" s="1153"/>
      <c r="W7" s="1154"/>
      <c r="X7" s="1155"/>
      <c r="Y7" s="1153"/>
    </row>
    <row r="8" spans="1:30" ht="15.6">
      <c r="A8" s="1156"/>
      <c r="B8" s="1200">
        <v>5101</v>
      </c>
      <c r="C8" s="1200" t="s">
        <v>115</v>
      </c>
      <c r="D8" s="1157" t="s">
        <v>149</v>
      </c>
      <c r="E8" s="1173"/>
      <c r="F8" s="1173"/>
      <c r="G8" s="1173"/>
      <c r="H8" s="1173"/>
      <c r="I8" s="1173"/>
      <c r="J8" s="1173"/>
      <c r="K8" s="1173"/>
      <c r="L8" s="1201"/>
      <c r="M8" s="1158"/>
      <c r="N8" s="1159"/>
      <c r="O8" s="1160"/>
      <c r="P8" s="1161"/>
      <c r="Q8" s="1161"/>
      <c r="R8" s="1161"/>
      <c r="S8" s="1161"/>
      <c r="T8" s="1162"/>
      <c r="U8" s="1162"/>
      <c r="V8" s="1163"/>
      <c r="W8" s="1164"/>
      <c r="X8" s="1165"/>
      <c r="Y8" s="1163"/>
    </row>
    <row r="9" spans="1:30">
      <c r="A9" s="1156"/>
      <c r="B9" s="1202">
        <v>5101001</v>
      </c>
      <c r="C9" s="1202" t="s">
        <v>116</v>
      </c>
      <c r="D9" s="1166" t="s">
        <v>150</v>
      </c>
      <c r="E9" s="1173"/>
      <c r="F9" s="1173"/>
      <c r="G9" s="1173"/>
      <c r="H9" s="1173"/>
      <c r="I9" s="1173"/>
      <c r="J9" s="1173"/>
      <c r="K9" s="1173"/>
      <c r="L9" s="1201"/>
      <c r="M9" s="1167"/>
      <c r="N9" s="1168"/>
      <c r="O9" s="1169"/>
      <c r="P9" s="1170"/>
      <c r="Q9" s="1170"/>
      <c r="R9" s="1170"/>
      <c r="S9" s="1170"/>
      <c r="T9" s="1171"/>
      <c r="U9" s="1171"/>
      <c r="V9" s="1172"/>
      <c r="W9" s="1173"/>
      <c r="X9" s="1174"/>
      <c r="Y9" s="1172"/>
    </row>
    <row r="10" spans="1:30" s="46" customFormat="1" ht="27.6">
      <c r="A10" s="1216"/>
      <c r="B10" s="1204">
        <v>51010010028</v>
      </c>
      <c r="C10" s="1204" t="s">
        <v>117</v>
      </c>
      <c r="D10" s="1175" t="s">
        <v>1352</v>
      </c>
      <c r="E10" s="1205"/>
      <c r="F10" s="1206"/>
      <c r="G10" s="1205"/>
      <c r="H10" s="1205"/>
      <c r="I10" s="1205"/>
      <c r="J10" s="1205"/>
      <c r="K10" s="1205"/>
      <c r="L10" s="1247"/>
      <c r="M10" s="847"/>
      <c r="N10" s="1176"/>
      <c r="O10" s="1177"/>
      <c r="P10" s="1023"/>
      <c r="Q10" s="1023"/>
      <c r="R10" s="1023"/>
      <c r="S10" s="1023"/>
      <c r="T10" s="1178"/>
      <c r="U10" s="1178"/>
      <c r="V10" s="1074"/>
      <c r="W10" s="1024"/>
      <c r="X10" s="1179"/>
      <c r="Y10" s="1074"/>
    </row>
    <row r="11" spans="1:30">
      <c r="A11" s="3092">
        <v>4143</v>
      </c>
      <c r="B11" s="1207"/>
      <c r="C11" s="3102" t="s">
        <v>123</v>
      </c>
      <c r="D11" s="3095" t="s">
        <v>1353</v>
      </c>
      <c r="E11" s="1190" t="s">
        <v>1660</v>
      </c>
      <c r="F11" s="1192"/>
      <c r="G11" s="1192"/>
      <c r="H11" s="1192"/>
      <c r="I11" s="1192"/>
      <c r="J11" s="1192"/>
      <c r="K11" s="1208">
        <f t="shared" ref="K11:L11" si="0">SUM(K12)</f>
        <v>158793</v>
      </c>
      <c r="L11" s="1209">
        <f t="shared" si="0"/>
        <v>1</v>
      </c>
      <c r="M11" s="880"/>
      <c r="N11" s="1060">
        <f>N12</f>
        <v>0</v>
      </c>
      <c r="O11" s="3073">
        <f>IF(Q11=0,"na",N11)</f>
        <v>0</v>
      </c>
      <c r="P11" s="853">
        <f>SUM(P12)</f>
        <v>2055022662</v>
      </c>
      <c r="Q11" s="853">
        <f t="shared" ref="Q11:S11" si="1">SUM(Q12:T12)</f>
        <v>2055022662</v>
      </c>
      <c r="R11" s="853">
        <f t="shared" si="1"/>
        <v>0</v>
      </c>
      <c r="S11" s="853">
        <f t="shared" si="1"/>
        <v>0</v>
      </c>
      <c r="T11" s="1060">
        <f t="shared" ref="T11:U12" si="2">IF(Q11=0,0,R11/Q11)</f>
        <v>0</v>
      </c>
      <c r="U11" s="1060">
        <f t="shared" si="2"/>
        <v>0</v>
      </c>
      <c r="V11" s="1180"/>
      <c r="W11" s="1181"/>
      <c r="X11" s="1182"/>
      <c r="Y11" s="3076" t="s">
        <v>1354</v>
      </c>
    </row>
    <row r="12" spans="1:30" ht="52.8">
      <c r="A12" s="3093"/>
      <c r="B12" s="1207"/>
      <c r="C12" s="3093"/>
      <c r="D12" s="3093"/>
      <c r="E12" s="1156" t="s">
        <v>1355</v>
      </c>
      <c r="F12" s="1192"/>
      <c r="G12" s="1192"/>
      <c r="H12" s="1192"/>
      <c r="I12" s="1193" t="s">
        <v>1356</v>
      </c>
      <c r="J12" s="1193" t="s">
        <v>1357</v>
      </c>
      <c r="K12" s="1208">
        <v>158793</v>
      </c>
      <c r="L12" s="1210">
        <v>1</v>
      </c>
      <c r="M12" s="880">
        <v>0</v>
      </c>
      <c r="N12" s="1211">
        <v>0</v>
      </c>
      <c r="O12" s="3096"/>
      <c r="P12" s="1081">
        <v>2055022662</v>
      </c>
      <c r="Q12" s="1081">
        <v>2055022662</v>
      </c>
      <c r="R12" s="1081">
        <v>0</v>
      </c>
      <c r="S12" s="1081">
        <v>0</v>
      </c>
      <c r="T12" s="1212">
        <f t="shared" si="2"/>
        <v>0</v>
      </c>
      <c r="U12" s="1212">
        <f t="shared" si="2"/>
        <v>0</v>
      </c>
      <c r="V12" s="1180"/>
      <c r="W12" s="1181"/>
      <c r="X12" s="1183"/>
      <c r="Y12" s="3093"/>
    </row>
    <row r="13" spans="1:30" ht="15.6">
      <c r="A13" s="1156"/>
      <c r="B13" s="1213">
        <v>52</v>
      </c>
      <c r="C13" s="1213" t="s">
        <v>114</v>
      </c>
      <c r="D13" s="1157" t="s">
        <v>162</v>
      </c>
      <c r="E13" s="1192"/>
      <c r="F13" s="1192"/>
      <c r="G13" s="1192"/>
      <c r="H13" s="1192"/>
      <c r="I13" s="1192"/>
      <c r="J13" s="1192"/>
      <c r="K13" s="1192"/>
      <c r="L13" s="1209"/>
      <c r="M13" s="880"/>
      <c r="N13" s="1211"/>
      <c r="O13" s="1214"/>
      <c r="P13" s="1109"/>
      <c r="Q13" s="1109"/>
      <c r="R13" s="1109"/>
      <c r="S13" s="1109"/>
      <c r="T13" s="1060"/>
      <c r="U13" s="1060"/>
      <c r="V13" s="1180"/>
      <c r="W13" s="1181"/>
      <c r="X13" s="1182"/>
      <c r="Y13" s="837"/>
    </row>
    <row r="14" spans="1:30" ht="15.6">
      <c r="A14" s="1156"/>
      <c r="B14" s="1213">
        <v>5201</v>
      </c>
      <c r="C14" s="1213" t="s">
        <v>115</v>
      </c>
      <c r="D14" s="1157" t="s">
        <v>1358</v>
      </c>
      <c r="E14" s="1173"/>
      <c r="F14" s="1173"/>
      <c r="G14" s="1173"/>
      <c r="H14" s="1173"/>
      <c r="I14" s="1173"/>
      <c r="J14" s="1173"/>
      <c r="K14" s="1173"/>
      <c r="L14" s="1201"/>
      <c r="M14" s="880"/>
      <c r="N14" s="1211"/>
      <c r="O14" s="1214"/>
      <c r="P14" s="1109"/>
      <c r="Q14" s="1109"/>
      <c r="R14" s="1109"/>
      <c r="S14" s="1109"/>
      <c r="T14" s="1060"/>
      <c r="U14" s="1060"/>
      <c r="V14" s="1180"/>
      <c r="W14" s="1181"/>
      <c r="X14" s="1182"/>
      <c r="Y14" s="837"/>
    </row>
    <row r="15" spans="1:30">
      <c r="A15" s="1156"/>
      <c r="B15" s="1203">
        <v>5201001</v>
      </c>
      <c r="C15" s="1203" t="s">
        <v>116</v>
      </c>
      <c r="D15" s="1166" t="s">
        <v>1359</v>
      </c>
      <c r="E15" s="1173"/>
      <c r="F15" s="1173"/>
      <c r="G15" s="1173"/>
      <c r="H15" s="1173"/>
      <c r="I15" s="1173"/>
      <c r="J15" s="1173"/>
      <c r="K15" s="1173"/>
      <c r="L15" s="1201"/>
      <c r="M15" s="880"/>
      <c r="N15" s="1211"/>
      <c r="O15" s="1214"/>
      <c r="P15" s="1109"/>
      <c r="Q15" s="1109"/>
      <c r="R15" s="1109"/>
      <c r="S15" s="1109"/>
      <c r="T15" s="1060"/>
      <c r="U15" s="1060"/>
      <c r="V15" s="1180"/>
      <c r="W15" s="1181"/>
      <c r="X15" s="1182"/>
      <c r="Y15" s="873"/>
    </row>
    <row r="16" spans="1:30" s="46" customFormat="1" ht="27.6">
      <c r="A16" s="1216"/>
      <c r="B16" s="1215">
        <v>52010010015</v>
      </c>
      <c r="C16" s="1215" t="s">
        <v>117</v>
      </c>
      <c r="D16" s="1175" t="s">
        <v>1360</v>
      </c>
      <c r="E16" s="1205"/>
      <c r="F16" s="1216"/>
      <c r="G16" s="1205"/>
      <c r="H16" s="1205"/>
      <c r="I16" s="1205"/>
      <c r="J16" s="1205"/>
      <c r="K16" s="1205"/>
      <c r="L16" s="1247"/>
      <c r="M16" s="1024"/>
      <c r="N16" s="1248"/>
      <c r="O16" s="1176"/>
      <c r="P16" s="1023"/>
      <c r="Q16" s="1023"/>
      <c r="R16" s="1023"/>
      <c r="S16" s="1023"/>
      <c r="T16" s="1249"/>
      <c r="U16" s="1249"/>
      <c r="V16" s="1250"/>
      <c r="W16" s="1251"/>
      <c r="X16" s="1252"/>
      <c r="Y16" s="844"/>
    </row>
    <row r="17" spans="1:25">
      <c r="A17" s="3092">
        <v>4143</v>
      </c>
      <c r="B17" s="1173"/>
      <c r="C17" s="3092" t="s">
        <v>123</v>
      </c>
      <c r="D17" s="3095" t="s">
        <v>1361</v>
      </c>
      <c r="E17" s="1190" t="s">
        <v>1661</v>
      </c>
      <c r="F17" s="1192"/>
      <c r="G17" s="1192"/>
      <c r="H17" s="1217"/>
      <c r="I17" s="1192"/>
      <c r="J17" s="1192"/>
      <c r="K17" s="1218">
        <f>K19</f>
        <v>30</v>
      </c>
      <c r="L17" s="1209">
        <f>SUM(L18:L19)</f>
        <v>1</v>
      </c>
      <c r="M17" s="880"/>
      <c r="N17" s="1060">
        <f>SUM(N18:N19)</f>
        <v>0</v>
      </c>
      <c r="O17" s="3073">
        <f>IF(Q17=0,"na",N17)</f>
        <v>0</v>
      </c>
      <c r="P17" s="853">
        <f t="shared" ref="P17:S17" si="3">SUM(P18:P19)</f>
        <v>500000000</v>
      </c>
      <c r="Q17" s="853">
        <f t="shared" si="3"/>
        <v>500000000</v>
      </c>
      <c r="R17" s="853">
        <f t="shared" si="3"/>
        <v>0</v>
      </c>
      <c r="S17" s="853">
        <f t="shared" si="3"/>
        <v>0</v>
      </c>
      <c r="T17" s="1060">
        <f t="shared" ref="T17:U19" si="4">IF(Q17=0,0,R17/Q17)</f>
        <v>0</v>
      </c>
      <c r="U17" s="1060">
        <f t="shared" si="4"/>
        <v>0</v>
      </c>
      <c r="V17" s="1180"/>
      <c r="W17" s="1181"/>
      <c r="X17" s="1182"/>
      <c r="Y17" s="3099" t="s">
        <v>1362</v>
      </c>
    </row>
    <row r="18" spans="1:25" ht="66">
      <c r="A18" s="3093"/>
      <c r="B18" s="1173"/>
      <c r="C18" s="3093"/>
      <c r="D18" s="3093"/>
      <c r="E18" s="1190" t="s">
        <v>1363</v>
      </c>
      <c r="F18" s="1192"/>
      <c r="G18" s="1192"/>
      <c r="H18" s="1192"/>
      <c r="I18" s="1193" t="s">
        <v>1364</v>
      </c>
      <c r="J18" s="1193" t="s">
        <v>1365</v>
      </c>
      <c r="K18" s="1218">
        <v>1</v>
      </c>
      <c r="L18" s="1210">
        <v>0.7</v>
      </c>
      <c r="M18" s="880">
        <v>0</v>
      </c>
      <c r="N18" s="1060">
        <v>0</v>
      </c>
      <c r="O18" s="3096"/>
      <c r="P18" s="1081">
        <v>421151717</v>
      </c>
      <c r="Q18" s="1081">
        <v>421151717</v>
      </c>
      <c r="R18" s="1081">
        <v>0</v>
      </c>
      <c r="S18" s="1081">
        <v>0</v>
      </c>
      <c r="T18" s="1212">
        <f t="shared" si="4"/>
        <v>0</v>
      </c>
      <c r="U18" s="1212">
        <f t="shared" si="4"/>
        <v>0</v>
      </c>
      <c r="V18" s="1180"/>
      <c r="W18" s="1181"/>
      <c r="X18" s="1183"/>
      <c r="Y18" s="3093"/>
    </row>
    <row r="19" spans="1:25" ht="92.4">
      <c r="A19" s="3093"/>
      <c r="B19" s="1173"/>
      <c r="C19" s="3093"/>
      <c r="D19" s="3093"/>
      <c r="E19" s="1190" t="s">
        <v>1366</v>
      </c>
      <c r="F19" s="1192"/>
      <c r="G19" s="1193" t="s">
        <v>1367</v>
      </c>
      <c r="H19" s="1219"/>
      <c r="I19" s="1193" t="s">
        <v>1368</v>
      </c>
      <c r="J19" s="1193" t="s">
        <v>1369</v>
      </c>
      <c r="K19" s="1218">
        <v>30</v>
      </c>
      <c r="L19" s="1210">
        <v>0.3</v>
      </c>
      <c r="M19" s="880">
        <v>0</v>
      </c>
      <c r="N19" s="1060">
        <v>0</v>
      </c>
      <c r="O19" s="3096"/>
      <c r="P19" s="1081">
        <v>78848283</v>
      </c>
      <c r="Q19" s="1081">
        <v>78848283</v>
      </c>
      <c r="R19" s="1081">
        <v>0</v>
      </c>
      <c r="S19" s="1081">
        <v>0</v>
      </c>
      <c r="T19" s="1212">
        <f t="shared" si="4"/>
        <v>0</v>
      </c>
      <c r="U19" s="1212">
        <f t="shared" si="4"/>
        <v>0</v>
      </c>
      <c r="V19" s="1180"/>
      <c r="W19" s="1181"/>
      <c r="X19" s="1183"/>
      <c r="Y19" s="3093"/>
    </row>
    <row r="20" spans="1:25">
      <c r="A20" s="1156"/>
      <c r="B20" s="1172">
        <v>5201002</v>
      </c>
      <c r="C20" s="1203" t="s">
        <v>116</v>
      </c>
      <c r="D20" s="1166" t="s">
        <v>1370</v>
      </c>
      <c r="E20" s="1173"/>
      <c r="F20" s="1172"/>
      <c r="G20" s="1173"/>
      <c r="H20" s="1173"/>
      <c r="I20" s="1173"/>
      <c r="J20" s="1173"/>
      <c r="K20" s="1173"/>
      <c r="L20" s="1201"/>
      <c r="M20" s="880"/>
      <c r="N20" s="1060"/>
      <c r="O20" s="1061"/>
      <c r="P20" s="1217"/>
      <c r="Q20" s="1217"/>
      <c r="R20" s="1217"/>
      <c r="S20" s="1217"/>
      <c r="T20" s="1220"/>
      <c r="U20" s="1220"/>
      <c r="V20" s="1184"/>
      <c r="W20" s="1185"/>
      <c r="X20" s="1186"/>
      <c r="Y20" s="1173"/>
    </row>
    <row r="21" spans="1:25" s="46" customFormat="1" ht="27.6">
      <c r="A21" s="1216"/>
      <c r="B21" s="1216">
        <v>52010020004</v>
      </c>
      <c r="C21" s="1216" t="s">
        <v>117</v>
      </c>
      <c r="D21" s="1175" t="s">
        <v>1371</v>
      </c>
      <c r="E21" s="1024"/>
      <c r="F21" s="1024"/>
      <c r="G21" s="1024"/>
      <c r="H21" s="1024"/>
      <c r="I21" s="1024"/>
      <c r="J21" s="1024"/>
      <c r="K21" s="1024"/>
      <c r="L21" s="1249"/>
      <c r="M21" s="1024"/>
      <c r="N21" s="1249"/>
      <c r="O21" s="1253"/>
      <c r="P21" s="1230"/>
      <c r="Q21" s="1230"/>
      <c r="R21" s="1230"/>
      <c r="S21" s="1230"/>
      <c r="T21" s="1254"/>
      <c r="U21" s="1254"/>
      <c r="V21" s="1255"/>
      <c r="W21" s="1256"/>
      <c r="X21" s="1257"/>
      <c r="Y21" s="1205"/>
    </row>
    <row r="22" spans="1:25">
      <c r="A22" s="3092">
        <v>4143</v>
      </c>
      <c r="B22" s="1173"/>
      <c r="C22" s="3092" t="s">
        <v>123</v>
      </c>
      <c r="D22" s="3095" t="s">
        <v>1372</v>
      </c>
      <c r="E22" s="1156" t="s">
        <v>1662</v>
      </c>
      <c r="F22" s="1209"/>
      <c r="G22" s="1192"/>
      <c r="H22" s="1217"/>
      <c r="I22" s="1192"/>
      <c r="J22" s="1192"/>
      <c r="K22" s="1192"/>
      <c r="L22" s="1209"/>
      <c r="M22" s="880"/>
      <c r="N22" s="1060">
        <f>SUM(N23)</f>
        <v>0</v>
      </c>
      <c r="O22" s="3073">
        <f>IF(Q22=0,"na",N22)</f>
        <v>0</v>
      </c>
      <c r="P22" s="1109">
        <f t="shared" ref="P22:S22" si="5">SUM(P23)</f>
        <v>1000000000</v>
      </c>
      <c r="Q22" s="1109">
        <f t="shared" si="5"/>
        <v>1000000000</v>
      </c>
      <c r="R22" s="1109">
        <f t="shared" si="5"/>
        <v>0</v>
      </c>
      <c r="S22" s="1109">
        <f t="shared" si="5"/>
        <v>0</v>
      </c>
      <c r="T22" s="1060">
        <f t="shared" ref="T22:U23" si="6">IF(Q22=0,0,R22/Q22)</f>
        <v>0</v>
      </c>
      <c r="U22" s="1060">
        <f t="shared" si="6"/>
        <v>0</v>
      </c>
      <c r="V22" s="1180"/>
      <c r="W22" s="1181"/>
      <c r="X22" s="1182"/>
      <c r="Y22" s="3099" t="s">
        <v>1362</v>
      </c>
    </row>
    <row r="23" spans="1:25" ht="118.8">
      <c r="A23" s="3093"/>
      <c r="B23" s="1173"/>
      <c r="C23" s="3093"/>
      <c r="D23" s="3093"/>
      <c r="E23" s="1156" t="s">
        <v>1373</v>
      </c>
      <c r="F23" s="1173"/>
      <c r="G23" s="857" t="s">
        <v>1374</v>
      </c>
      <c r="H23" s="1107"/>
      <c r="I23" s="857" t="s">
        <v>1375</v>
      </c>
      <c r="J23" s="857" t="s">
        <v>1369</v>
      </c>
      <c r="K23" s="1218">
        <v>92</v>
      </c>
      <c r="L23" s="1210">
        <v>1</v>
      </c>
      <c r="M23" s="880">
        <v>0</v>
      </c>
      <c r="N23" s="1060">
        <v>0</v>
      </c>
      <c r="O23" s="3096"/>
      <c r="P23" s="1081">
        <v>1000000000</v>
      </c>
      <c r="Q23" s="1081">
        <v>1000000000</v>
      </c>
      <c r="R23" s="1081">
        <v>0</v>
      </c>
      <c r="S23" s="1081">
        <v>0</v>
      </c>
      <c r="T23" s="1212">
        <f t="shared" si="6"/>
        <v>0</v>
      </c>
      <c r="U23" s="1212">
        <f t="shared" si="6"/>
        <v>0</v>
      </c>
      <c r="V23" s="1180"/>
      <c r="W23" s="1185"/>
      <c r="X23" s="1187"/>
      <c r="Y23" s="3093"/>
    </row>
    <row r="24" spans="1:25">
      <c r="A24" s="1156"/>
      <c r="B24" s="1172">
        <v>5201004</v>
      </c>
      <c r="C24" s="1172" t="s">
        <v>116</v>
      </c>
      <c r="D24" s="1166" t="s">
        <v>1376</v>
      </c>
      <c r="E24" s="1173"/>
      <c r="F24" s="1173"/>
      <c r="G24" s="1173"/>
      <c r="H24" s="1173"/>
      <c r="I24" s="1173"/>
      <c r="J24" s="1173"/>
      <c r="K24" s="1173"/>
      <c r="L24" s="1201"/>
      <c r="M24" s="880"/>
      <c r="N24" s="1060"/>
      <c r="O24" s="1061"/>
      <c r="P24" s="1217"/>
      <c r="Q24" s="1217"/>
      <c r="R24" s="1217"/>
      <c r="S24" s="1217"/>
      <c r="T24" s="1220"/>
      <c r="U24" s="1220"/>
      <c r="V24" s="1184"/>
      <c r="W24" s="1185"/>
      <c r="X24" s="1186"/>
      <c r="Y24" s="1173"/>
    </row>
    <row r="25" spans="1:25" s="46" customFormat="1" ht="27.6">
      <c r="A25" s="1216"/>
      <c r="B25" s="1216">
        <v>52010040008</v>
      </c>
      <c r="C25" s="1216" t="s">
        <v>117</v>
      </c>
      <c r="D25" s="1175" t="s">
        <v>1377</v>
      </c>
      <c r="E25" s="1205"/>
      <c r="F25" s="1221"/>
      <c r="G25" s="1205"/>
      <c r="H25" s="1205"/>
      <c r="I25" s="1205"/>
      <c r="J25" s="1205"/>
      <c r="K25" s="1205"/>
      <c r="L25" s="1247"/>
      <c r="M25" s="1024"/>
      <c r="N25" s="1249"/>
      <c r="O25" s="1253"/>
      <c r="P25" s="1230"/>
      <c r="Q25" s="1230"/>
      <c r="R25" s="1230"/>
      <c r="S25" s="1230"/>
      <c r="T25" s="1254"/>
      <c r="U25" s="1254"/>
      <c r="V25" s="1255"/>
      <c r="W25" s="1256"/>
      <c r="X25" s="1257"/>
      <c r="Y25" s="1205"/>
    </row>
    <row r="26" spans="1:25">
      <c r="A26" s="3092">
        <v>4143</v>
      </c>
      <c r="B26" s="1173"/>
      <c r="C26" s="3092" t="s">
        <v>123</v>
      </c>
      <c r="D26" s="3095" t="s">
        <v>1378</v>
      </c>
      <c r="E26" s="1156" t="s">
        <v>1663</v>
      </c>
      <c r="F26" s="1192"/>
      <c r="G26" s="1192"/>
      <c r="H26" s="1222"/>
      <c r="I26" s="1192"/>
      <c r="J26" s="1192"/>
      <c r="K26" s="1192"/>
      <c r="L26" s="1209"/>
      <c r="M26" s="880"/>
      <c r="N26" s="1060">
        <f>SUM(N27:N29)</f>
        <v>0</v>
      </c>
      <c r="O26" s="3073">
        <f>IF(Q26=0,"na",N26)</f>
        <v>0</v>
      </c>
      <c r="P26" s="853">
        <f t="shared" ref="P26:S26" si="7">SUM(P27:P29)</f>
        <v>266562045</v>
      </c>
      <c r="Q26" s="853">
        <f t="shared" si="7"/>
        <v>266562045</v>
      </c>
      <c r="R26" s="853">
        <f t="shared" si="7"/>
        <v>0</v>
      </c>
      <c r="S26" s="853">
        <f t="shared" si="7"/>
        <v>0</v>
      </c>
      <c r="T26" s="1060">
        <f t="shared" ref="T26:U29" si="8">IF(Q26=0,0,R26/Q26)</f>
        <v>0</v>
      </c>
      <c r="U26" s="1060">
        <f t="shared" si="8"/>
        <v>0</v>
      </c>
      <c r="V26" s="1180"/>
      <c r="W26" s="1185"/>
      <c r="X26" s="1186"/>
      <c r="Y26" s="3099" t="s">
        <v>1379</v>
      </c>
    </row>
    <row r="27" spans="1:25" ht="79.2">
      <c r="A27" s="3093"/>
      <c r="B27" s="1192"/>
      <c r="C27" s="3093"/>
      <c r="D27" s="3093"/>
      <c r="E27" s="1156" t="s">
        <v>1380</v>
      </c>
      <c r="F27" s="1192"/>
      <c r="G27" s="1192"/>
      <c r="H27" s="1192"/>
      <c r="I27" s="1193" t="s">
        <v>1381</v>
      </c>
      <c r="J27" s="1193" t="s">
        <v>1382</v>
      </c>
      <c r="K27" s="1218">
        <v>1</v>
      </c>
      <c r="L27" s="1210">
        <v>0.4</v>
      </c>
      <c r="M27" s="880">
        <v>0</v>
      </c>
      <c r="N27" s="1060">
        <v>0</v>
      </c>
      <c r="O27" s="3096"/>
      <c r="P27" s="1081">
        <v>31262165</v>
      </c>
      <c r="Q27" s="1081">
        <v>31262165</v>
      </c>
      <c r="R27" s="1081">
        <v>0</v>
      </c>
      <c r="S27" s="1081">
        <v>0</v>
      </c>
      <c r="T27" s="1212">
        <f t="shared" si="8"/>
        <v>0</v>
      </c>
      <c r="U27" s="1212">
        <f t="shared" si="8"/>
        <v>0</v>
      </c>
      <c r="V27" s="1180"/>
      <c r="W27" s="1185"/>
      <c r="X27" s="1187"/>
      <c r="Y27" s="3093"/>
    </row>
    <row r="28" spans="1:25" ht="92.4">
      <c r="A28" s="3093"/>
      <c r="B28" s="1192"/>
      <c r="C28" s="3093"/>
      <c r="D28" s="3093"/>
      <c r="E28" s="1156" t="s">
        <v>1383</v>
      </c>
      <c r="F28" s="1192"/>
      <c r="G28" s="1192"/>
      <c r="H28" s="1192"/>
      <c r="I28" s="1193" t="s">
        <v>1384</v>
      </c>
      <c r="J28" s="1193" t="s">
        <v>1385</v>
      </c>
      <c r="K28" s="1218">
        <v>26</v>
      </c>
      <c r="L28" s="1210">
        <v>0.2</v>
      </c>
      <c r="M28" s="880">
        <v>0</v>
      </c>
      <c r="N28" s="1060">
        <v>0</v>
      </c>
      <c r="O28" s="3096"/>
      <c r="P28" s="1081">
        <v>83588508</v>
      </c>
      <c r="Q28" s="1081">
        <v>83588508</v>
      </c>
      <c r="R28" s="1081">
        <v>0</v>
      </c>
      <c r="S28" s="1081">
        <v>0</v>
      </c>
      <c r="T28" s="1212">
        <f t="shared" si="8"/>
        <v>0</v>
      </c>
      <c r="U28" s="1212">
        <f t="shared" si="8"/>
        <v>0</v>
      </c>
      <c r="V28" s="1180"/>
      <c r="W28" s="1181"/>
      <c r="X28" s="1183"/>
      <c r="Y28" s="3093"/>
    </row>
    <row r="29" spans="1:25" ht="92.4">
      <c r="A29" s="3093"/>
      <c r="B29" s="1192"/>
      <c r="C29" s="3093"/>
      <c r="D29" s="3093"/>
      <c r="E29" s="1156" t="s">
        <v>1386</v>
      </c>
      <c r="F29" s="1192"/>
      <c r="G29" s="1193" t="s">
        <v>1387</v>
      </c>
      <c r="H29" s="1223"/>
      <c r="I29" s="1193" t="s">
        <v>1388</v>
      </c>
      <c r="J29" s="1193" t="s">
        <v>1389</v>
      </c>
      <c r="K29" s="1218">
        <v>1</v>
      </c>
      <c r="L29" s="1210">
        <v>0.4</v>
      </c>
      <c r="M29" s="880">
        <v>0</v>
      </c>
      <c r="N29" s="1060">
        <v>0</v>
      </c>
      <c r="O29" s="3096"/>
      <c r="P29" s="1081">
        <v>151711372</v>
      </c>
      <c r="Q29" s="1081">
        <v>151711372</v>
      </c>
      <c r="R29" s="1081">
        <v>0</v>
      </c>
      <c r="S29" s="1081">
        <v>0</v>
      </c>
      <c r="T29" s="1212">
        <f t="shared" si="8"/>
        <v>0</v>
      </c>
      <c r="U29" s="1212">
        <f t="shared" si="8"/>
        <v>0</v>
      </c>
      <c r="V29" s="1180"/>
      <c r="W29" s="1181"/>
      <c r="X29" s="1183"/>
      <c r="Y29" s="3093"/>
    </row>
    <row r="30" spans="1:25" ht="15.6">
      <c r="A30" s="1156"/>
      <c r="B30" s="1163">
        <v>5202</v>
      </c>
      <c r="C30" s="1163" t="s">
        <v>115</v>
      </c>
      <c r="D30" s="1157" t="s">
        <v>1390</v>
      </c>
      <c r="E30" s="1173"/>
      <c r="F30" s="1173"/>
      <c r="G30" s="1173"/>
      <c r="H30" s="1173"/>
      <c r="I30" s="1173"/>
      <c r="J30" s="1173"/>
      <c r="K30" s="1173"/>
      <c r="L30" s="1201"/>
      <c r="M30" s="880"/>
      <c r="N30" s="1060"/>
      <c r="O30" s="1061"/>
      <c r="P30" s="1217"/>
      <c r="Q30" s="1217"/>
      <c r="R30" s="1217"/>
      <c r="S30" s="1217"/>
      <c r="T30" s="1220"/>
      <c r="U30" s="1220"/>
      <c r="V30" s="1184"/>
      <c r="W30" s="1185"/>
      <c r="X30" s="1186"/>
      <c r="Y30" s="1173"/>
    </row>
    <row r="31" spans="1:25" ht="27.6">
      <c r="A31" s="1156"/>
      <c r="B31" s="1172">
        <v>5202005</v>
      </c>
      <c r="C31" s="1172" t="s">
        <v>116</v>
      </c>
      <c r="D31" s="1166" t="s">
        <v>1391</v>
      </c>
      <c r="E31" s="1173"/>
      <c r="F31" s="1173"/>
      <c r="G31" s="1173"/>
      <c r="H31" s="1173"/>
      <c r="I31" s="1173"/>
      <c r="J31" s="1173"/>
      <c r="K31" s="1173"/>
      <c r="L31" s="1201"/>
      <c r="M31" s="880"/>
      <c r="N31" s="1060"/>
      <c r="O31" s="1061"/>
      <c r="P31" s="1217"/>
      <c r="Q31" s="1217"/>
      <c r="R31" s="1217"/>
      <c r="S31" s="1217"/>
      <c r="T31" s="1220"/>
      <c r="U31" s="1220"/>
      <c r="V31" s="1184"/>
      <c r="W31" s="1185"/>
      <c r="X31" s="1186"/>
      <c r="Y31" s="1173"/>
    </row>
    <row r="32" spans="1:25" s="46" customFormat="1" ht="41.4">
      <c r="A32" s="1216"/>
      <c r="B32" s="1216">
        <v>52020050006</v>
      </c>
      <c r="C32" s="1216" t="s">
        <v>117</v>
      </c>
      <c r="D32" s="1175" t="s">
        <v>1392</v>
      </c>
      <c r="E32" s="1205"/>
      <c r="F32" s="1224"/>
      <c r="G32" s="1205"/>
      <c r="H32" s="1205"/>
      <c r="I32" s="1205"/>
      <c r="J32" s="1205"/>
      <c r="K32" s="1205"/>
      <c r="L32" s="1247"/>
      <c r="M32" s="1024"/>
      <c r="N32" s="1249"/>
      <c r="O32" s="1253"/>
      <c r="P32" s="1023"/>
      <c r="Q32" s="1023"/>
      <c r="R32" s="1023"/>
      <c r="S32" s="1023"/>
      <c r="T32" s="1249"/>
      <c r="U32" s="1249"/>
      <c r="V32" s="1250"/>
      <c r="W32" s="1251"/>
      <c r="X32" s="1252"/>
      <c r="Y32" s="1205"/>
    </row>
    <row r="33" spans="1:25">
      <c r="A33" s="3092">
        <v>4143</v>
      </c>
      <c r="B33" s="1173"/>
      <c r="C33" s="3092" t="s">
        <v>123</v>
      </c>
      <c r="D33" s="3095" t="s">
        <v>1393</v>
      </c>
      <c r="E33" s="1156" t="s">
        <v>1664</v>
      </c>
      <c r="F33" s="1192"/>
      <c r="G33" s="1192"/>
      <c r="H33" s="1156"/>
      <c r="I33" s="1192"/>
      <c r="J33" s="1192"/>
      <c r="K33" s="1192"/>
      <c r="L33" s="1209">
        <f>SUM(L34:L36)</f>
        <v>1</v>
      </c>
      <c r="M33" s="880"/>
      <c r="N33" s="1060">
        <f>SUM(N34:N36)</f>
        <v>0.245</v>
      </c>
      <c r="O33" s="3073">
        <f>IF(Q33=0,"na",N33)</f>
        <v>0.245</v>
      </c>
      <c r="P33" s="1109">
        <f t="shared" ref="P33:S33" si="9">SUM(P34:P36)</f>
        <v>4060512605</v>
      </c>
      <c r="Q33" s="1109">
        <f t="shared" si="9"/>
        <v>4060512605</v>
      </c>
      <c r="R33" s="1109">
        <f t="shared" si="9"/>
        <v>849429000</v>
      </c>
      <c r="S33" s="1109">
        <f t="shared" si="9"/>
        <v>12616000</v>
      </c>
      <c r="T33" s="1060">
        <f t="shared" ref="T33:U36" si="10">IF(Q33=0,0,R33/Q33)</f>
        <v>0.20919255341161538</v>
      </c>
      <c r="U33" s="1060">
        <f t="shared" si="10"/>
        <v>1.485233021241328E-2</v>
      </c>
      <c r="V33" s="1180"/>
      <c r="W33" s="1181"/>
      <c r="X33" s="1182"/>
      <c r="Y33" s="3099" t="s">
        <v>1379</v>
      </c>
    </row>
    <row r="34" spans="1:25" ht="132">
      <c r="A34" s="3093"/>
      <c r="B34" s="1173"/>
      <c r="C34" s="3093"/>
      <c r="D34" s="3093"/>
      <c r="E34" s="1156" t="s">
        <v>1394</v>
      </c>
      <c r="F34" s="1192"/>
      <c r="G34" s="1193" t="s">
        <v>1395</v>
      </c>
      <c r="H34" s="1156"/>
      <c r="I34" s="1193" t="s">
        <v>1396</v>
      </c>
      <c r="J34" s="1193" t="s">
        <v>1397</v>
      </c>
      <c r="K34" s="1218">
        <v>3351</v>
      </c>
      <c r="L34" s="1210">
        <v>0.5</v>
      </c>
      <c r="M34" s="880">
        <v>2529</v>
      </c>
      <c r="N34" s="1060">
        <v>4.4999999999999998E-2</v>
      </c>
      <c r="O34" s="3096"/>
      <c r="P34" s="1081">
        <v>2988512605</v>
      </c>
      <c r="Q34" s="1081">
        <v>2987263000</v>
      </c>
      <c r="R34" s="1081">
        <v>449670000</v>
      </c>
      <c r="S34" s="1081">
        <v>12616000</v>
      </c>
      <c r="T34" s="1212">
        <f t="shared" si="10"/>
        <v>0.150529096366808</v>
      </c>
      <c r="U34" s="1212">
        <f t="shared" si="10"/>
        <v>2.8056130050926234E-2</v>
      </c>
      <c r="V34" s="1180" t="s">
        <v>1398</v>
      </c>
      <c r="W34" s="1180">
        <v>45626</v>
      </c>
      <c r="X34" s="1183" t="s">
        <v>1399</v>
      </c>
      <c r="Y34" s="3093"/>
    </row>
    <row r="35" spans="1:25" ht="92.4">
      <c r="A35" s="3093"/>
      <c r="B35" s="1173"/>
      <c r="C35" s="3093"/>
      <c r="D35" s="3093"/>
      <c r="E35" s="1156" t="s">
        <v>1400</v>
      </c>
      <c r="F35" s="1192"/>
      <c r="G35" s="1192"/>
      <c r="H35" s="1192"/>
      <c r="I35" s="1193" t="s">
        <v>1401</v>
      </c>
      <c r="J35" s="1193" t="s">
        <v>1385</v>
      </c>
      <c r="K35" s="1218">
        <v>60</v>
      </c>
      <c r="L35" s="1210">
        <v>0.25</v>
      </c>
      <c r="M35" s="880">
        <v>0</v>
      </c>
      <c r="N35" s="1060">
        <v>0</v>
      </c>
      <c r="O35" s="3096"/>
      <c r="P35" s="1081">
        <v>72602500</v>
      </c>
      <c r="Q35" s="1081">
        <v>73852105</v>
      </c>
      <c r="R35" s="1081">
        <v>0</v>
      </c>
      <c r="S35" s="1081">
        <v>0</v>
      </c>
      <c r="T35" s="1212">
        <f t="shared" si="10"/>
        <v>0</v>
      </c>
      <c r="U35" s="1212">
        <f t="shared" si="10"/>
        <v>0</v>
      </c>
      <c r="V35" s="1180"/>
      <c r="W35" s="1180"/>
      <c r="X35" s="1182"/>
      <c r="Y35" s="3093"/>
    </row>
    <row r="36" spans="1:25" ht="118.8">
      <c r="A36" s="3093"/>
      <c r="B36" s="1173"/>
      <c r="C36" s="3093"/>
      <c r="D36" s="3093"/>
      <c r="E36" s="1156" t="s">
        <v>1402</v>
      </c>
      <c r="F36" s="1217"/>
      <c r="G36" s="1193" t="s">
        <v>1395</v>
      </c>
      <c r="H36" s="1156"/>
      <c r="I36" s="1193" t="s">
        <v>1403</v>
      </c>
      <c r="J36" s="1193" t="s">
        <v>1404</v>
      </c>
      <c r="K36" s="1218">
        <v>679</v>
      </c>
      <c r="L36" s="1210">
        <v>0.25</v>
      </c>
      <c r="M36" s="880">
        <v>679</v>
      </c>
      <c r="N36" s="1060">
        <v>0.2</v>
      </c>
      <c r="O36" s="3096"/>
      <c r="P36" s="1081">
        <v>999397500</v>
      </c>
      <c r="Q36" s="1081">
        <v>999397500</v>
      </c>
      <c r="R36" s="1081">
        <v>399759000</v>
      </c>
      <c r="S36" s="1081">
        <v>0</v>
      </c>
      <c r="T36" s="1212">
        <f t="shared" si="10"/>
        <v>0.4</v>
      </c>
      <c r="U36" s="1212">
        <f t="shared" si="10"/>
        <v>0</v>
      </c>
      <c r="V36" s="1180" t="s">
        <v>1398</v>
      </c>
      <c r="W36" s="1180">
        <v>45626</v>
      </c>
      <c r="X36" s="1183" t="s">
        <v>1405</v>
      </c>
      <c r="Y36" s="3093"/>
    </row>
    <row r="37" spans="1:25" ht="15.6">
      <c r="A37" s="1156"/>
      <c r="B37" s="1163">
        <v>5203</v>
      </c>
      <c r="C37" s="1163" t="s">
        <v>115</v>
      </c>
      <c r="D37" s="1157" t="s">
        <v>163</v>
      </c>
      <c r="E37" s="1173"/>
      <c r="F37" s="1173"/>
      <c r="G37" s="1173"/>
      <c r="H37" s="1173"/>
      <c r="I37" s="1173"/>
      <c r="J37" s="1173"/>
      <c r="K37" s="1173"/>
      <c r="L37" s="1201"/>
      <c r="M37" s="880"/>
      <c r="N37" s="1060"/>
      <c r="O37" s="1061"/>
      <c r="P37" s="1081"/>
      <c r="Q37" s="1081"/>
      <c r="R37" s="1081"/>
      <c r="S37" s="1081"/>
      <c r="T37" s="1060"/>
      <c r="U37" s="1060"/>
      <c r="V37" s="1180"/>
      <c r="W37" s="1180"/>
      <c r="X37" s="1182"/>
      <c r="Y37" s="1173"/>
    </row>
    <row r="38" spans="1:25">
      <c r="A38" s="1156"/>
      <c r="B38" s="1172">
        <v>5203008</v>
      </c>
      <c r="C38" s="1172" t="s">
        <v>116</v>
      </c>
      <c r="D38" s="1166" t="s">
        <v>175</v>
      </c>
      <c r="E38" s="1173"/>
      <c r="F38" s="1173"/>
      <c r="G38" s="1173"/>
      <c r="H38" s="1173"/>
      <c r="I38" s="1173"/>
      <c r="J38" s="1173"/>
      <c r="K38" s="1173"/>
      <c r="L38" s="1201"/>
      <c r="M38" s="880"/>
      <c r="N38" s="1060"/>
      <c r="O38" s="1061"/>
      <c r="P38" s="1081"/>
      <c r="Q38" s="1081"/>
      <c r="R38" s="1081"/>
      <c r="S38" s="1081"/>
      <c r="T38" s="1060"/>
      <c r="U38" s="1060"/>
      <c r="V38" s="1180"/>
      <c r="W38" s="1180"/>
      <c r="X38" s="1183"/>
      <c r="Y38" s="1173"/>
    </row>
    <row r="39" spans="1:25" s="46" customFormat="1" ht="27.6">
      <c r="A39" s="1216"/>
      <c r="B39" s="1216">
        <v>52030080008</v>
      </c>
      <c r="C39" s="1216" t="s">
        <v>117</v>
      </c>
      <c r="D39" s="1175" t="s">
        <v>1406</v>
      </c>
      <c r="E39" s="1205"/>
      <c r="F39" s="1216"/>
      <c r="G39" s="1205"/>
      <c r="H39" s="1216"/>
      <c r="I39" s="1205"/>
      <c r="J39" s="1205"/>
      <c r="K39" s="1205"/>
      <c r="L39" s="1247"/>
      <c r="M39" s="1024"/>
      <c r="N39" s="1249"/>
      <c r="O39" s="1253"/>
      <c r="P39" s="1258"/>
      <c r="Q39" s="1258"/>
      <c r="R39" s="1258"/>
      <c r="S39" s="1258"/>
      <c r="T39" s="1249"/>
      <c r="U39" s="1249"/>
      <c r="V39" s="1250"/>
      <c r="W39" s="1250"/>
      <c r="X39" s="1259"/>
      <c r="Y39" s="1205"/>
    </row>
    <row r="40" spans="1:25">
      <c r="A40" s="3092">
        <v>4143</v>
      </c>
      <c r="B40" s="1173"/>
      <c r="C40" s="3041" t="s">
        <v>123</v>
      </c>
      <c r="D40" s="3101" t="s">
        <v>1407</v>
      </c>
      <c r="E40" s="1225" t="s">
        <v>1665</v>
      </c>
      <c r="F40" s="1192"/>
      <c r="G40" s="1192"/>
      <c r="H40" s="1192"/>
      <c r="I40" s="1192"/>
      <c r="J40" s="1192"/>
      <c r="K40" s="1192"/>
      <c r="L40" s="1209">
        <f>L41</f>
        <v>1</v>
      </c>
      <c r="M40" s="880"/>
      <c r="N40" s="1060">
        <f>SUM(N41)</f>
        <v>3.1E-2</v>
      </c>
      <c r="O40" s="3073">
        <f>IF(Q40=0,"na",N40)</f>
        <v>3.1E-2</v>
      </c>
      <c r="P40" s="853">
        <f t="shared" ref="P40:S40" si="11">SUM(P41)</f>
        <v>4541478562</v>
      </c>
      <c r="Q40" s="853">
        <f t="shared" si="11"/>
        <v>4541478562</v>
      </c>
      <c r="R40" s="853">
        <f t="shared" si="11"/>
        <v>190000000</v>
      </c>
      <c r="S40" s="853">
        <f t="shared" si="11"/>
        <v>0</v>
      </c>
      <c r="T40" s="1060">
        <f t="shared" ref="T40:U55" si="12">IF(Q40=0,0,R40/Q40)</f>
        <v>4.18365951542281E-2</v>
      </c>
      <c r="U40" s="1060">
        <f t="shared" si="12"/>
        <v>0</v>
      </c>
      <c r="V40" s="1180"/>
      <c r="W40" s="1180"/>
      <c r="X40" s="1183"/>
      <c r="Y40" s="3099" t="s">
        <v>1408</v>
      </c>
    </row>
    <row r="41" spans="1:25" ht="52.8">
      <c r="A41" s="3093"/>
      <c r="B41" s="1173"/>
      <c r="C41" s="3093"/>
      <c r="D41" s="3093"/>
      <c r="E41" s="1156" t="s">
        <v>1409</v>
      </c>
      <c r="F41" s="1192"/>
      <c r="G41" s="1226" t="s">
        <v>1410</v>
      </c>
      <c r="H41" s="1156"/>
      <c r="I41" s="1193" t="s">
        <v>1411</v>
      </c>
      <c r="J41" s="1227" t="s">
        <v>1412</v>
      </c>
      <c r="K41" s="1218">
        <v>13</v>
      </c>
      <c r="L41" s="1210">
        <v>1</v>
      </c>
      <c r="M41" s="880">
        <v>0</v>
      </c>
      <c r="N41" s="1060">
        <v>3.1E-2</v>
      </c>
      <c r="O41" s="3096"/>
      <c r="P41" s="1081">
        <v>4541478562</v>
      </c>
      <c r="Q41" s="1081">
        <v>4541478562</v>
      </c>
      <c r="R41" s="1081">
        <v>190000000</v>
      </c>
      <c r="S41" s="1081">
        <v>0</v>
      </c>
      <c r="T41" s="1212">
        <f t="shared" si="12"/>
        <v>4.18365951542281E-2</v>
      </c>
      <c r="U41" s="1212">
        <f t="shared" si="12"/>
        <v>0</v>
      </c>
      <c r="V41" s="1180">
        <v>45323</v>
      </c>
      <c r="W41" s="1184">
        <v>45657</v>
      </c>
      <c r="X41" s="1187" t="s">
        <v>1413</v>
      </c>
      <c r="Y41" s="3093"/>
    </row>
    <row r="42" spans="1:25">
      <c r="A42" s="3092">
        <v>4143</v>
      </c>
      <c r="B42" s="1173"/>
      <c r="C42" s="3041" t="s">
        <v>123</v>
      </c>
      <c r="D42" s="3101" t="s">
        <v>1414</v>
      </c>
      <c r="E42" s="1156" t="s">
        <v>1666</v>
      </c>
      <c r="F42" s="1192"/>
      <c r="G42" s="1192"/>
      <c r="H42" s="1192"/>
      <c r="I42" s="1192"/>
      <c r="J42" s="1192"/>
      <c r="K42" s="1192"/>
      <c r="L42" s="1209">
        <f>L43</f>
        <v>1</v>
      </c>
      <c r="M42" s="880"/>
      <c r="N42" s="1060">
        <f>SUM(N43)</f>
        <v>0</v>
      </c>
      <c r="O42" s="3073">
        <f>IF(Q42=0,"na",N42)</f>
        <v>0</v>
      </c>
      <c r="P42" s="853">
        <f t="shared" ref="P42:S42" si="13">SUM(P43)</f>
        <v>621795051</v>
      </c>
      <c r="Q42" s="853">
        <f t="shared" si="13"/>
        <v>621795051</v>
      </c>
      <c r="R42" s="853">
        <f t="shared" si="13"/>
        <v>0</v>
      </c>
      <c r="S42" s="853">
        <f t="shared" si="13"/>
        <v>0</v>
      </c>
      <c r="T42" s="1060">
        <f t="shared" si="12"/>
        <v>0</v>
      </c>
      <c r="U42" s="1060">
        <f t="shared" si="12"/>
        <v>0</v>
      </c>
      <c r="V42" s="1180"/>
      <c r="W42" s="1184"/>
      <c r="X42" s="1187"/>
      <c r="Y42" s="3099" t="s">
        <v>1408</v>
      </c>
    </row>
    <row r="43" spans="1:25" ht="52.8">
      <c r="A43" s="3093"/>
      <c r="B43" s="1173"/>
      <c r="C43" s="3093"/>
      <c r="D43" s="3093"/>
      <c r="E43" s="1225" t="s">
        <v>1415</v>
      </c>
      <c r="F43" s="1192"/>
      <c r="G43" s="1193" t="s">
        <v>1416</v>
      </c>
      <c r="H43" s="1156"/>
      <c r="I43" s="1193" t="s">
        <v>1417</v>
      </c>
      <c r="J43" s="1193" t="s">
        <v>1418</v>
      </c>
      <c r="K43" s="1218">
        <v>1</v>
      </c>
      <c r="L43" s="1210">
        <v>1</v>
      </c>
      <c r="M43" s="880">
        <v>0</v>
      </c>
      <c r="N43" s="1060">
        <v>0</v>
      </c>
      <c r="O43" s="3096"/>
      <c r="P43" s="1081">
        <v>621795051</v>
      </c>
      <c r="Q43" s="1081">
        <v>621795051</v>
      </c>
      <c r="R43" s="1081">
        <v>0</v>
      </c>
      <c r="S43" s="1081">
        <v>0</v>
      </c>
      <c r="T43" s="1212">
        <f t="shared" si="12"/>
        <v>0</v>
      </c>
      <c r="U43" s="1212">
        <f t="shared" si="12"/>
        <v>0</v>
      </c>
      <c r="V43" s="1184"/>
      <c r="W43" s="1184"/>
      <c r="X43" s="1187"/>
      <c r="Y43" s="3093"/>
    </row>
    <row r="44" spans="1:25">
      <c r="A44" s="3092">
        <v>4143</v>
      </c>
      <c r="B44" s="1173"/>
      <c r="C44" s="3041" t="s">
        <v>123</v>
      </c>
      <c r="D44" s="3101" t="s">
        <v>1419</v>
      </c>
      <c r="E44" s="1225" t="s">
        <v>1667</v>
      </c>
      <c r="F44" s="1192"/>
      <c r="G44" s="1192"/>
      <c r="H44" s="1192"/>
      <c r="I44" s="1192"/>
      <c r="J44" s="1192"/>
      <c r="K44" s="1192"/>
      <c r="L44" s="1209">
        <f>L45</f>
        <v>1</v>
      </c>
      <c r="M44" s="880"/>
      <c r="N44" s="1060">
        <f>SUM(N45)</f>
        <v>0</v>
      </c>
      <c r="O44" s="3073">
        <f>IF(Q44=0,"na",N44)</f>
        <v>0</v>
      </c>
      <c r="P44" s="853">
        <f t="shared" ref="P44:S44" si="14">SUM(P45)</f>
        <v>632417948</v>
      </c>
      <c r="Q44" s="853">
        <f t="shared" si="14"/>
        <v>632417948</v>
      </c>
      <c r="R44" s="853">
        <f t="shared" si="14"/>
        <v>0</v>
      </c>
      <c r="S44" s="853">
        <f t="shared" si="14"/>
        <v>0</v>
      </c>
      <c r="T44" s="1060">
        <f t="shared" si="12"/>
        <v>0</v>
      </c>
      <c r="U44" s="1060">
        <f t="shared" si="12"/>
        <v>0</v>
      </c>
      <c r="V44" s="1180"/>
      <c r="W44" s="1184"/>
      <c r="X44" s="1188"/>
      <c r="Y44" s="3099" t="s">
        <v>1408</v>
      </c>
    </row>
    <row r="45" spans="1:25" ht="79.2">
      <c r="A45" s="3093"/>
      <c r="B45" s="1173"/>
      <c r="C45" s="3093"/>
      <c r="D45" s="3093"/>
      <c r="E45" s="879" t="s">
        <v>1420</v>
      </c>
      <c r="F45" s="1192"/>
      <c r="G45" s="1193" t="s">
        <v>1416</v>
      </c>
      <c r="H45" s="1156"/>
      <c r="I45" s="1193" t="s">
        <v>1421</v>
      </c>
      <c r="J45" s="1193" t="s">
        <v>1418</v>
      </c>
      <c r="K45" s="1218">
        <v>2</v>
      </c>
      <c r="L45" s="1210">
        <v>1</v>
      </c>
      <c r="M45" s="880">
        <v>0</v>
      </c>
      <c r="N45" s="1060">
        <v>0</v>
      </c>
      <c r="O45" s="3096"/>
      <c r="P45" s="1081">
        <v>632417948</v>
      </c>
      <c r="Q45" s="1081">
        <v>632417948</v>
      </c>
      <c r="R45" s="1081">
        <v>0</v>
      </c>
      <c r="S45" s="1081">
        <v>0</v>
      </c>
      <c r="T45" s="1212">
        <f t="shared" si="12"/>
        <v>0</v>
      </c>
      <c r="U45" s="1212">
        <f t="shared" si="12"/>
        <v>0</v>
      </c>
      <c r="V45" s="1184"/>
      <c r="W45" s="1184"/>
      <c r="X45" s="1188"/>
      <c r="Y45" s="3093"/>
    </row>
    <row r="46" spans="1:25">
      <c r="A46" s="3092">
        <v>4143</v>
      </c>
      <c r="B46" s="1173"/>
      <c r="C46" s="3041" t="s">
        <v>123</v>
      </c>
      <c r="D46" s="3101" t="s">
        <v>1422</v>
      </c>
      <c r="E46" s="1225" t="s">
        <v>1668</v>
      </c>
      <c r="F46" s="1192"/>
      <c r="G46" s="1192"/>
      <c r="H46" s="1192"/>
      <c r="I46" s="1192"/>
      <c r="J46" s="1192"/>
      <c r="K46" s="1192"/>
      <c r="L46" s="1209">
        <f>L47</f>
        <v>1</v>
      </c>
      <c r="M46" s="880"/>
      <c r="N46" s="1060">
        <f>SUM(N47)</f>
        <v>0</v>
      </c>
      <c r="O46" s="3073">
        <f>IF(Q46=0,"na",N46)</f>
        <v>0</v>
      </c>
      <c r="P46" s="853">
        <f t="shared" ref="P46:S46" si="15">SUM(P47)</f>
        <v>613773025</v>
      </c>
      <c r="Q46" s="853">
        <f t="shared" si="15"/>
        <v>613773025</v>
      </c>
      <c r="R46" s="853">
        <f t="shared" si="15"/>
        <v>0</v>
      </c>
      <c r="S46" s="853">
        <f t="shared" si="15"/>
        <v>0</v>
      </c>
      <c r="T46" s="1060">
        <f t="shared" si="12"/>
        <v>0</v>
      </c>
      <c r="U46" s="1060">
        <f t="shared" si="12"/>
        <v>0</v>
      </c>
      <c r="V46" s="1184"/>
      <c r="W46" s="1184"/>
      <c r="X46" s="1188"/>
      <c r="Y46" s="3099" t="s">
        <v>1408</v>
      </c>
    </row>
    <row r="47" spans="1:25" ht="118.8">
      <c r="A47" s="3093"/>
      <c r="B47" s="1173"/>
      <c r="C47" s="3093"/>
      <c r="D47" s="3093"/>
      <c r="E47" s="879" t="s">
        <v>1423</v>
      </c>
      <c r="F47" s="1192"/>
      <c r="G47" s="1193" t="s">
        <v>1416</v>
      </c>
      <c r="H47" s="1156"/>
      <c r="I47" s="1193" t="s">
        <v>1424</v>
      </c>
      <c r="J47" s="1193" t="s">
        <v>1418</v>
      </c>
      <c r="K47" s="1218">
        <v>4</v>
      </c>
      <c r="L47" s="1210">
        <v>1</v>
      </c>
      <c r="M47" s="880">
        <v>0</v>
      </c>
      <c r="N47" s="1060">
        <v>0</v>
      </c>
      <c r="O47" s="3096"/>
      <c r="P47" s="1081">
        <v>613773025</v>
      </c>
      <c r="Q47" s="1081">
        <v>613773025</v>
      </c>
      <c r="R47" s="1081">
        <v>0</v>
      </c>
      <c r="S47" s="1081">
        <v>0</v>
      </c>
      <c r="T47" s="1212">
        <f t="shared" si="12"/>
        <v>0</v>
      </c>
      <c r="U47" s="1212">
        <f t="shared" si="12"/>
        <v>0</v>
      </c>
      <c r="V47" s="1184"/>
      <c r="W47" s="1184"/>
      <c r="X47" s="1187"/>
      <c r="Y47" s="3093"/>
    </row>
    <row r="48" spans="1:25">
      <c r="A48" s="3092">
        <v>4143</v>
      </c>
      <c r="B48" s="1173"/>
      <c r="C48" s="3041" t="s">
        <v>123</v>
      </c>
      <c r="D48" s="3101" t="s">
        <v>1425</v>
      </c>
      <c r="E48" s="879" t="s">
        <v>1669</v>
      </c>
      <c r="F48" s="1192"/>
      <c r="G48" s="1192"/>
      <c r="H48" s="1192"/>
      <c r="I48" s="1192"/>
      <c r="J48" s="1192"/>
      <c r="K48" s="1192"/>
      <c r="L48" s="1209">
        <f>L49</f>
        <v>1</v>
      </c>
      <c r="M48" s="880"/>
      <c r="N48" s="1060">
        <f>SUM(N49)</f>
        <v>0</v>
      </c>
      <c r="O48" s="3073">
        <f>IF(Q48=0,"na",N48)</f>
        <v>0</v>
      </c>
      <c r="P48" s="853">
        <f t="shared" ref="P48:S48" si="16">SUM(P49)</f>
        <v>254871476</v>
      </c>
      <c r="Q48" s="853">
        <f t="shared" si="16"/>
        <v>254871476</v>
      </c>
      <c r="R48" s="853">
        <f t="shared" si="16"/>
        <v>0</v>
      </c>
      <c r="S48" s="853">
        <f t="shared" si="16"/>
        <v>0</v>
      </c>
      <c r="T48" s="1060">
        <f t="shared" si="12"/>
        <v>0</v>
      </c>
      <c r="U48" s="1060">
        <f t="shared" si="12"/>
        <v>0</v>
      </c>
      <c r="V48" s="1184"/>
      <c r="W48" s="1184"/>
      <c r="X48" s="1187"/>
      <c r="Y48" s="3099" t="s">
        <v>1408</v>
      </c>
    </row>
    <row r="49" spans="1:25" ht="66">
      <c r="A49" s="3093"/>
      <c r="B49" s="1173"/>
      <c r="C49" s="3093"/>
      <c r="D49" s="3093"/>
      <c r="E49" s="1156" t="s">
        <v>1426</v>
      </c>
      <c r="F49" s="1192"/>
      <c r="G49" s="1193" t="s">
        <v>1416</v>
      </c>
      <c r="H49" s="1156"/>
      <c r="I49" s="1193" t="s">
        <v>1427</v>
      </c>
      <c r="J49" s="1193" t="s">
        <v>1418</v>
      </c>
      <c r="K49" s="1218">
        <v>2</v>
      </c>
      <c r="L49" s="1210">
        <v>1</v>
      </c>
      <c r="M49" s="880">
        <v>0</v>
      </c>
      <c r="N49" s="1060">
        <v>0</v>
      </c>
      <c r="O49" s="3096"/>
      <c r="P49" s="1081">
        <v>254871476</v>
      </c>
      <c r="Q49" s="1081">
        <v>254871476</v>
      </c>
      <c r="R49" s="1081">
        <v>0</v>
      </c>
      <c r="S49" s="1081">
        <v>0</v>
      </c>
      <c r="T49" s="1212">
        <f t="shared" si="12"/>
        <v>0</v>
      </c>
      <c r="U49" s="1212">
        <f t="shared" si="12"/>
        <v>0</v>
      </c>
      <c r="V49" s="1180"/>
      <c r="W49" s="1180"/>
      <c r="X49" s="1183"/>
      <c r="Y49" s="3093"/>
    </row>
    <row r="50" spans="1:25">
      <c r="A50" s="3092">
        <v>4143</v>
      </c>
      <c r="B50" s="1173"/>
      <c r="C50" s="3041" t="s">
        <v>123</v>
      </c>
      <c r="D50" s="3100" t="s">
        <v>1428</v>
      </c>
      <c r="E50" s="879" t="s">
        <v>1429</v>
      </c>
      <c r="F50" s="1192"/>
      <c r="G50" s="1192"/>
      <c r="H50" s="1192"/>
      <c r="I50" s="1192"/>
      <c r="J50" s="1192"/>
      <c r="K50" s="1192"/>
      <c r="L50" s="1209">
        <f>L51</f>
        <v>1</v>
      </c>
      <c r="M50" s="880"/>
      <c r="N50" s="1060">
        <f>SUM(N51)</f>
        <v>0</v>
      </c>
      <c r="O50" s="3073">
        <f>IF(Q50=0,"na",N50)</f>
        <v>0</v>
      </c>
      <c r="P50" s="853">
        <f t="shared" ref="P50:S50" si="17">SUM(P51)</f>
        <v>639540885</v>
      </c>
      <c r="Q50" s="853">
        <f t="shared" si="17"/>
        <v>639540885</v>
      </c>
      <c r="R50" s="853">
        <f t="shared" si="17"/>
        <v>0</v>
      </c>
      <c r="S50" s="853">
        <f t="shared" si="17"/>
        <v>0</v>
      </c>
      <c r="T50" s="1060">
        <f t="shared" si="12"/>
        <v>0</v>
      </c>
      <c r="U50" s="1060">
        <f t="shared" si="12"/>
        <v>0</v>
      </c>
      <c r="V50" s="1180"/>
      <c r="W50" s="1180"/>
      <c r="X50" s="1183"/>
      <c r="Y50" s="3099" t="s">
        <v>1408</v>
      </c>
    </row>
    <row r="51" spans="1:25" ht="92.4">
      <c r="A51" s="3093"/>
      <c r="B51" s="1173"/>
      <c r="C51" s="3093"/>
      <c r="D51" s="3093"/>
      <c r="E51" s="879" t="s">
        <v>1430</v>
      </c>
      <c r="F51" s="1192"/>
      <c r="G51" s="1193" t="s">
        <v>1416</v>
      </c>
      <c r="H51" s="1156"/>
      <c r="I51" s="1193" t="s">
        <v>1431</v>
      </c>
      <c r="J51" s="1193" t="s">
        <v>1418</v>
      </c>
      <c r="K51" s="1218">
        <v>3</v>
      </c>
      <c r="L51" s="1210">
        <v>1</v>
      </c>
      <c r="M51" s="880">
        <v>0</v>
      </c>
      <c r="N51" s="1060">
        <v>0</v>
      </c>
      <c r="O51" s="3096"/>
      <c r="P51" s="1081">
        <v>639540885</v>
      </c>
      <c r="Q51" s="1081">
        <v>639540885</v>
      </c>
      <c r="R51" s="1081">
        <v>0</v>
      </c>
      <c r="S51" s="1081">
        <v>0</v>
      </c>
      <c r="T51" s="1212">
        <f t="shared" si="12"/>
        <v>0</v>
      </c>
      <c r="U51" s="1212">
        <f t="shared" si="12"/>
        <v>0</v>
      </c>
      <c r="V51" s="1180"/>
      <c r="W51" s="1180"/>
      <c r="X51" s="1189"/>
      <c r="Y51" s="3093"/>
    </row>
    <row r="52" spans="1:25">
      <c r="A52" s="3092">
        <v>4143</v>
      </c>
      <c r="B52" s="1173"/>
      <c r="C52" s="3041" t="s">
        <v>123</v>
      </c>
      <c r="D52" s="3095" t="s">
        <v>1432</v>
      </c>
      <c r="E52" s="1156" t="s">
        <v>1670</v>
      </c>
      <c r="F52" s="1192"/>
      <c r="G52" s="1192"/>
      <c r="H52" s="1192"/>
      <c r="I52" s="1192"/>
      <c r="J52" s="1192"/>
      <c r="K52" s="1192"/>
      <c r="L52" s="1209">
        <f>L53</f>
        <v>1</v>
      </c>
      <c r="M52" s="880"/>
      <c r="N52" s="1060">
        <f>SUM(N53)</f>
        <v>0</v>
      </c>
      <c r="O52" s="3073">
        <f>IF(Q52=0,"na",N52)</f>
        <v>0</v>
      </c>
      <c r="P52" s="853">
        <f t="shared" ref="P52:S52" si="18">SUM(P53)</f>
        <v>217709700</v>
      </c>
      <c r="Q52" s="853">
        <f t="shared" si="18"/>
        <v>217709700</v>
      </c>
      <c r="R52" s="853">
        <f t="shared" si="18"/>
        <v>0</v>
      </c>
      <c r="S52" s="853">
        <f t="shared" si="18"/>
        <v>0</v>
      </c>
      <c r="T52" s="1060">
        <f t="shared" si="12"/>
        <v>0</v>
      </c>
      <c r="U52" s="1060">
        <f t="shared" si="12"/>
        <v>0</v>
      </c>
      <c r="V52" s="1180"/>
      <c r="W52" s="1180"/>
      <c r="X52" s="1189"/>
      <c r="Y52" s="3099" t="s">
        <v>1408</v>
      </c>
    </row>
    <row r="53" spans="1:25" ht="79.2">
      <c r="A53" s="3093"/>
      <c r="B53" s="1173"/>
      <c r="C53" s="3093"/>
      <c r="D53" s="3093"/>
      <c r="E53" s="1156" t="s">
        <v>1433</v>
      </c>
      <c r="F53" s="1192"/>
      <c r="G53" s="1193" t="s">
        <v>1416</v>
      </c>
      <c r="H53" s="1156"/>
      <c r="I53" s="1193" t="s">
        <v>1434</v>
      </c>
      <c r="J53" s="1193" t="s">
        <v>1418</v>
      </c>
      <c r="K53" s="1218">
        <v>1</v>
      </c>
      <c r="L53" s="1210">
        <v>1</v>
      </c>
      <c r="M53" s="880">
        <v>0</v>
      </c>
      <c r="N53" s="1060">
        <v>0</v>
      </c>
      <c r="O53" s="3096"/>
      <c r="P53" s="1081">
        <v>217709700</v>
      </c>
      <c r="Q53" s="1081">
        <v>217709700</v>
      </c>
      <c r="R53" s="1081">
        <v>0</v>
      </c>
      <c r="S53" s="1081">
        <v>0</v>
      </c>
      <c r="T53" s="1212">
        <f t="shared" si="12"/>
        <v>0</v>
      </c>
      <c r="U53" s="1212">
        <f t="shared" si="12"/>
        <v>0</v>
      </c>
      <c r="V53" s="1180"/>
      <c r="W53" s="1180"/>
      <c r="X53" s="1183"/>
      <c r="Y53" s="3093"/>
    </row>
    <row r="54" spans="1:25">
      <c r="A54" s="3092">
        <v>4143</v>
      </c>
      <c r="B54" s="1173"/>
      <c r="C54" s="3041" t="s">
        <v>123</v>
      </c>
      <c r="D54" s="3101" t="s">
        <v>1435</v>
      </c>
      <c r="E54" s="879" t="s">
        <v>1436</v>
      </c>
      <c r="F54" s="1192"/>
      <c r="G54" s="1192"/>
      <c r="H54" s="1192"/>
      <c r="I54" s="1192"/>
      <c r="J54" s="1192"/>
      <c r="K54" s="1192"/>
      <c r="L54" s="1209">
        <f>L55</f>
        <v>1</v>
      </c>
      <c r="M54" s="880"/>
      <c r="N54" s="1060">
        <f>SUM(N55)</f>
        <v>0</v>
      </c>
      <c r="O54" s="3073">
        <f>IF(Q54=0,"na",N54)</f>
        <v>0</v>
      </c>
      <c r="P54" s="853">
        <f t="shared" ref="P54:S54" si="19">SUM(P55)</f>
        <v>295883965</v>
      </c>
      <c r="Q54" s="853">
        <f t="shared" si="19"/>
        <v>295883965</v>
      </c>
      <c r="R54" s="853">
        <f t="shared" si="19"/>
        <v>0</v>
      </c>
      <c r="S54" s="853">
        <f t="shared" si="19"/>
        <v>0</v>
      </c>
      <c r="T54" s="1060">
        <f t="shared" si="12"/>
        <v>0</v>
      </c>
      <c r="U54" s="1060">
        <f t="shared" si="12"/>
        <v>0</v>
      </c>
      <c r="V54" s="1180"/>
      <c r="W54" s="1180"/>
      <c r="X54" s="1183"/>
      <c r="Y54" s="3099" t="s">
        <v>1408</v>
      </c>
    </row>
    <row r="55" spans="1:25" ht="66">
      <c r="A55" s="3093"/>
      <c r="B55" s="1173"/>
      <c r="C55" s="3093"/>
      <c r="D55" s="3093"/>
      <c r="E55" s="1156" t="s">
        <v>1437</v>
      </c>
      <c r="F55" s="1192"/>
      <c r="G55" s="1193" t="s">
        <v>1416</v>
      </c>
      <c r="H55" s="1156"/>
      <c r="I55" s="1226" t="s">
        <v>1438</v>
      </c>
      <c r="J55" s="1193" t="s">
        <v>1418</v>
      </c>
      <c r="K55" s="1218">
        <v>2</v>
      </c>
      <c r="L55" s="1210">
        <v>1</v>
      </c>
      <c r="M55" s="880">
        <v>0</v>
      </c>
      <c r="N55" s="1060">
        <v>0</v>
      </c>
      <c r="O55" s="3096"/>
      <c r="P55" s="1081">
        <v>295883965</v>
      </c>
      <c r="Q55" s="1081">
        <v>295883965</v>
      </c>
      <c r="R55" s="1081">
        <v>0</v>
      </c>
      <c r="S55" s="1081">
        <v>0</v>
      </c>
      <c r="T55" s="1212">
        <f t="shared" si="12"/>
        <v>0</v>
      </c>
      <c r="U55" s="1212">
        <f t="shared" si="12"/>
        <v>0</v>
      </c>
      <c r="V55" s="1180"/>
      <c r="W55" s="1180"/>
      <c r="X55" s="1188"/>
      <c r="Y55" s="3093"/>
    </row>
    <row r="56" spans="1:25">
      <c r="A56" s="3092">
        <v>4143</v>
      </c>
      <c r="B56" s="1173"/>
      <c r="C56" s="3041" t="s">
        <v>123</v>
      </c>
      <c r="D56" s="3095" t="s">
        <v>1439</v>
      </c>
      <c r="E56" s="879" t="s">
        <v>1440</v>
      </c>
      <c r="F56" s="880"/>
      <c r="G56" s="1192"/>
      <c r="H56" s="1192"/>
      <c r="I56" s="1192"/>
      <c r="J56" s="1192"/>
      <c r="K56" s="1192"/>
      <c r="L56" s="1209">
        <f>L57</f>
        <v>1</v>
      </c>
      <c r="M56" s="880"/>
      <c r="N56" s="1060">
        <f>SUM(N57)</f>
        <v>0</v>
      </c>
      <c r="O56" s="3073">
        <f>IF(Q56=0,"na",N56)</f>
        <v>0</v>
      </c>
      <c r="P56" s="853">
        <f t="shared" ref="P56:S56" si="20">SUM(P57)</f>
        <v>225000000</v>
      </c>
      <c r="Q56" s="853">
        <f t="shared" si="20"/>
        <v>225000000</v>
      </c>
      <c r="R56" s="853">
        <f t="shared" si="20"/>
        <v>0</v>
      </c>
      <c r="S56" s="853">
        <f t="shared" si="20"/>
        <v>0</v>
      </c>
      <c r="T56" s="1060">
        <f t="shared" ref="T56:U67" si="21">IF(Q56=0,0,R56/Q56)</f>
        <v>0</v>
      </c>
      <c r="U56" s="1060">
        <f t="shared" si="21"/>
        <v>0</v>
      </c>
      <c r="V56" s="1180"/>
      <c r="W56" s="1180"/>
      <c r="X56" s="1228"/>
      <c r="Y56" s="3099" t="s">
        <v>1408</v>
      </c>
    </row>
    <row r="57" spans="1:25" ht="66">
      <c r="A57" s="3093"/>
      <c r="B57" s="1173"/>
      <c r="C57" s="3093"/>
      <c r="D57" s="3093"/>
      <c r="E57" s="1156" t="s">
        <v>1441</v>
      </c>
      <c r="F57" s="1192"/>
      <c r="G57" s="1193" t="s">
        <v>1416</v>
      </c>
      <c r="H57" s="1156"/>
      <c r="I57" s="1193" t="s">
        <v>1442</v>
      </c>
      <c r="J57" s="1193" t="s">
        <v>1418</v>
      </c>
      <c r="K57" s="1218">
        <v>1</v>
      </c>
      <c r="L57" s="1210">
        <v>1</v>
      </c>
      <c r="M57" s="880">
        <v>0</v>
      </c>
      <c r="N57" s="1060">
        <v>0</v>
      </c>
      <c r="O57" s="3096"/>
      <c r="P57" s="1081">
        <v>225000000</v>
      </c>
      <c r="Q57" s="1081">
        <v>225000000</v>
      </c>
      <c r="R57" s="1081">
        <v>0</v>
      </c>
      <c r="S57" s="1081">
        <v>0</v>
      </c>
      <c r="T57" s="1212">
        <f t="shared" si="21"/>
        <v>0</v>
      </c>
      <c r="U57" s="1212">
        <f t="shared" si="21"/>
        <v>0</v>
      </c>
      <c r="V57" s="1180"/>
      <c r="W57" s="1180"/>
      <c r="X57" s="1183"/>
      <c r="Y57" s="3093"/>
    </row>
    <row r="58" spans="1:25">
      <c r="A58" s="3092">
        <v>4143</v>
      </c>
      <c r="B58" s="1173"/>
      <c r="C58" s="3041" t="s">
        <v>123</v>
      </c>
      <c r="D58" s="3095" t="s">
        <v>1443</v>
      </c>
      <c r="E58" s="879" t="s">
        <v>1444</v>
      </c>
      <c r="F58" s="1192"/>
      <c r="G58" s="1192"/>
      <c r="H58" s="1192"/>
      <c r="I58" s="1192"/>
      <c r="J58" s="1192"/>
      <c r="K58" s="1192"/>
      <c r="L58" s="1209">
        <f>L59</f>
        <v>1</v>
      </c>
      <c r="M58" s="880"/>
      <c r="N58" s="1060">
        <f>SUM(N59)</f>
        <v>0</v>
      </c>
      <c r="O58" s="3073">
        <f>IF(Q58=0,"na",N58)</f>
        <v>0</v>
      </c>
      <c r="P58" s="853">
        <f t="shared" ref="P58:S58" si="22">SUM(P59)</f>
        <v>725005658</v>
      </c>
      <c r="Q58" s="853">
        <f t="shared" si="22"/>
        <v>725005658</v>
      </c>
      <c r="R58" s="853">
        <f t="shared" si="22"/>
        <v>0</v>
      </c>
      <c r="S58" s="853">
        <f t="shared" si="22"/>
        <v>0</v>
      </c>
      <c r="T58" s="1060">
        <f t="shared" si="21"/>
        <v>0</v>
      </c>
      <c r="U58" s="1060">
        <f t="shared" si="21"/>
        <v>0</v>
      </c>
      <c r="V58" s="1180"/>
      <c r="W58" s="1180"/>
      <c r="X58" s="1183"/>
      <c r="Y58" s="3099" t="s">
        <v>1408</v>
      </c>
    </row>
    <row r="59" spans="1:25" ht="79.2">
      <c r="A59" s="3093"/>
      <c r="B59" s="1173"/>
      <c r="C59" s="3093"/>
      <c r="D59" s="3093"/>
      <c r="E59" s="1156" t="s">
        <v>1445</v>
      </c>
      <c r="F59" s="1192"/>
      <c r="G59" s="1193" t="s">
        <v>1416</v>
      </c>
      <c r="H59" s="1156"/>
      <c r="I59" s="1193" t="s">
        <v>1446</v>
      </c>
      <c r="J59" s="1193" t="s">
        <v>1418</v>
      </c>
      <c r="K59" s="1218">
        <v>2</v>
      </c>
      <c r="L59" s="1210">
        <v>1</v>
      </c>
      <c r="M59" s="880">
        <v>0</v>
      </c>
      <c r="N59" s="1060">
        <v>0</v>
      </c>
      <c r="O59" s="3096"/>
      <c r="P59" s="1081">
        <v>725005658</v>
      </c>
      <c r="Q59" s="1081">
        <v>725005658</v>
      </c>
      <c r="R59" s="1081">
        <v>0</v>
      </c>
      <c r="S59" s="1081">
        <v>0</v>
      </c>
      <c r="T59" s="1212">
        <f t="shared" si="21"/>
        <v>0</v>
      </c>
      <c r="U59" s="1212">
        <f t="shared" si="21"/>
        <v>0</v>
      </c>
      <c r="V59" s="1180"/>
      <c r="W59" s="1180"/>
      <c r="X59" s="1183"/>
      <c r="Y59" s="3093"/>
    </row>
    <row r="60" spans="1:25">
      <c r="A60" s="3092">
        <v>4143</v>
      </c>
      <c r="B60" s="1173"/>
      <c r="C60" s="3041" t="s">
        <v>123</v>
      </c>
      <c r="D60" s="3100" t="s">
        <v>1447</v>
      </c>
      <c r="E60" s="879" t="s">
        <v>1448</v>
      </c>
      <c r="F60" s="1192"/>
      <c r="G60" s="1192"/>
      <c r="H60" s="1192"/>
      <c r="I60" s="1192"/>
      <c r="J60" s="1192"/>
      <c r="K60" s="1192"/>
      <c r="L60" s="1209">
        <f>L61</f>
        <v>1</v>
      </c>
      <c r="M60" s="880"/>
      <c r="N60" s="1060">
        <f>SUM(N61)</f>
        <v>0</v>
      </c>
      <c r="O60" s="3073">
        <f>IF(Q60=0,"na",N60)</f>
        <v>0</v>
      </c>
      <c r="P60" s="853">
        <f t="shared" ref="P60:S60" si="23">SUM(P61)</f>
        <v>1278649201</v>
      </c>
      <c r="Q60" s="853">
        <f t="shared" si="23"/>
        <v>1278649201</v>
      </c>
      <c r="R60" s="853">
        <f t="shared" si="23"/>
        <v>0</v>
      </c>
      <c r="S60" s="853">
        <f t="shared" si="23"/>
        <v>0</v>
      </c>
      <c r="T60" s="1060">
        <f t="shared" si="21"/>
        <v>0</v>
      </c>
      <c r="U60" s="1060">
        <f t="shared" si="21"/>
        <v>0</v>
      </c>
      <c r="V60" s="1180"/>
      <c r="W60" s="1180"/>
      <c r="X60" s="1183"/>
      <c r="Y60" s="3099" t="s">
        <v>1408</v>
      </c>
    </row>
    <row r="61" spans="1:25" ht="105.6">
      <c r="A61" s="3093"/>
      <c r="B61" s="1173"/>
      <c r="C61" s="3093"/>
      <c r="D61" s="3093"/>
      <c r="E61" s="1156" t="s">
        <v>1449</v>
      </c>
      <c r="F61" s="1192"/>
      <c r="G61" s="1193" t="s">
        <v>1416</v>
      </c>
      <c r="H61" s="1156"/>
      <c r="I61" s="1193" t="s">
        <v>1450</v>
      </c>
      <c r="J61" s="1193" t="s">
        <v>1418</v>
      </c>
      <c r="K61" s="1218">
        <v>4</v>
      </c>
      <c r="L61" s="1210">
        <v>1</v>
      </c>
      <c r="M61" s="880">
        <v>0</v>
      </c>
      <c r="N61" s="1060">
        <v>0</v>
      </c>
      <c r="O61" s="3096"/>
      <c r="P61" s="1081">
        <v>1278649201</v>
      </c>
      <c r="Q61" s="1081">
        <v>1278649201</v>
      </c>
      <c r="R61" s="1081">
        <v>0</v>
      </c>
      <c r="S61" s="1081">
        <v>0</v>
      </c>
      <c r="T61" s="1212">
        <f t="shared" si="21"/>
        <v>0</v>
      </c>
      <c r="U61" s="1212">
        <f t="shared" si="21"/>
        <v>0</v>
      </c>
      <c r="V61" s="1180"/>
      <c r="W61" s="1180"/>
      <c r="X61" s="1183"/>
      <c r="Y61" s="3093"/>
    </row>
    <row r="62" spans="1:25">
      <c r="A62" s="3092">
        <v>4143</v>
      </c>
      <c r="B62" s="1173"/>
      <c r="C62" s="3041" t="s">
        <v>123</v>
      </c>
      <c r="D62" s="3095" t="s">
        <v>1451</v>
      </c>
      <c r="E62" s="1156" t="s">
        <v>1671</v>
      </c>
      <c r="F62" s="1192"/>
      <c r="G62" s="1192"/>
      <c r="H62" s="1192"/>
      <c r="I62" s="1192"/>
      <c r="J62" s="1192"/>
      <c r="K62" s="1192"/>
      <c r="L62" s="1209">
        <f>L63</f>
        <v>1</v>
      </c>
      <c r="M62" s="880"/>
      <c r="N62" s="1060">
        <f>SUM(N63)</f>
        <v>0</v>
      </c>
      <c r="O62" s="3073">
        <f>IF(Q62=0,"na",N62)</f>
        <v>0</v>
      </c>
      <c r="P62" s="853">
        <f t="shared" ref="P62:S62" si="24">SUM(P63)</f>
        <v>1016819180</v>
      </c>
      <c r="Q62" s="853">
        <f t="shared" si="24"/>
        <v>1016819180</v>
      </c>
      <c r="R62" s="853">
        <f t="shared" si="24"/>
        <v>0</v>
      </c>
      <c r="S62" s="853">
        <f t="shared" si="24"/>
        <v>0</v>
      </c>
      <c r="T62" s="1060">
        <f t="shared" si="21"/>
        <v>0</v>
      </c>
      <c r="U62" s="1060">
        <f t="shared" si="21"/>
        <v>0</v>
      </c>
      <c r="V62" s="1180"/>
      <c r="W62" s="1180"/>
      <c r="X62" s="1189"/>
      <c r="Y62" s="3099" t="s">
        <v>1408</v>
      </c>
    </row>
    <row r="63" spans="1:25" ht="66">
      <c r="A63" s="3093"/>
      <c r="B63" s="1173"/>
      <c r="C63" s="3093"/>
      <c r="D63" s="3093"/>
      <c r="E63" s="1156" t="s">
        <v>1452</v>
      </c>
      <c r="F63" s="1192"/>
      <c r="G63" s="1193" t="s">
        <v>1416</v>
      </c>
      <c r="H63" s="1156"/>
      <c r="I63" s="1193" t="s">
        <v>1453</v>
      </c>
      <c r="J63" s="1193" t="s">
        <v>1418</v>
      </c>
      <c r="K63" s="1218">
        <v>2</v>
      </c>
      <c r="L63" s="1210">
        <v>1</v>
      </c>
      <c r="M63" s="880">
        <v>0</v>
      </c>
      <c r="N63" s="1060">
        <v>0</v>
      </c>
      <c r="O63" s="3096"/>
      <c r="P63" s="1081">
        <v>1016819180</v>
      </c>
      <c r="Q63" s="1081">
        <v>1016819180</v>
      </c>
      <c r="R63" s="1081">
        <v>0</v>
      </c>
      <c r="S63" s="1081">
        <v>0</v>
      </c>
      <c r="T63" s="1212">
        <f t="shared" si="21"/>
        <v>0</v>
      </c>
      <c r="U63" s="1212">
        <f t="shared" si="21"/>
        <v>0</v>
      </c>
      <c r="V63" s="1180"/>
      <c r="W63" s="1180"/>
      <c r="X63" s="1183"/>
      <c r="Y63" s="3093"/>
    </row>
    <row r="64" spans="1:25">
      <c r="A64" s="3092">
        <v>4143</v>
      </c>
      <c r="B64" s="1173"/>
      <c r="C64" s="3041" t="s">
        <v>123</v>
      </c>
      <c r="D64" s="3095" t="s">
        <v>1454</v>
      </c>
      <c r="E64" s="1156" t="s">
        <v>1672</v>
      </c>
      <c r="F64" s="1192"/>
      <c r="G64" s="1192"/>
      <c r="H64" s="1192"/>
      <c r="I64" s="1192"/>
      <c r="J64" s="1192"/>
      <c r="K64" s="1192"/>
      <c r="L64" s="1209">
        <f>L65</f>
        <v>1</v>
      </c>
      <c r="M64" s="880"/>
      <c r="N64" s="1060">
        <f>SUM(N65)</f>
        <v>0</v>
      </c>
      <c r="O64" s="3073">
        <f>IF(Q64=0,"na",N64)</f>
        <v>0</v>
      </c>
      <c r="P64" s="853">
        <f t="shared" ref="P64:S64" si="25">SUM(P65)</f>
        <v>361500712</v>
      </c>
      <c r="Q64" s="853">
        <f t="shared" si="25"/>
        <v>361500712</v>
      </c>
      <c r="R64" s="853">
        <f t="shared" si="25"/>
        <v>0</v>
      </c>
      <c r="S64" s="853">
        <f t="shared" si="25"/>
        <v>0</v>
      </c>
      <c r="T64" s="1060">
        <f t="shared" si="21"/>
        <v>0</v>
      </c>
      <c r="U64" s="1060">
        <f t="shared" si="21"/>
        <v>0</v>
      </c>
      <c r="V64" s="1180"/>
      <c r="W64" s="1180"/>
      <c r="X64" s="1183"/>
      <c r="Y64" s="3099" t="s">
        <v>1408</v>
      </c>
    </row>
    <row r="65" spans="1:25" ht="105.6">
      <c r="A65" s="3093"/>
      <c r="B65" s="1173"/>
      <c r="C65" s="3093"/>
      <c r="D65" s="3093"/>
      <c r="E65" s="1156" t="s">
        <v>1455</v>
      </c>
      <c r="F65" s="1192"/>
      <c r="G65" s="1193" t="s">
        <v>1416</v>
      </c>
      <c r="H65" s="1156"/>
      <c r="I65" s="1193" t="s">
        <v>1456</v>
      </c>
      <c r="J65" s="1193" t="s">
        <v>1418</v>
      </c>
      <c r="K65" s="1218">
        <v>3</v>
      </c>
      <c r="L65" s="1210">
        <v>1</v>
      </c>
      <c r="M65" s="880">
        <v>0</v>
      </c>
      <c r="N65" s="1060">
        <v>0</v>
      </c>
      <c r="O65" s="3096"/>
      <c r="P65" s="1081">
        <v>361500712</v>
      </c>
      <c r="Q65" s="1081">
        <v>361500712</v>
      </c>
      <c r="R65" s="1081">
        <v>0</v>
      </c>
      <c r="S65" s="1081">
        <v>0</v>
      </c>
      <c r="T65" s="1212">
        <f t="shared" si="21"/>
        <v>0</v>
      </c>
      <c r="U65" s="1212">
        <f t="shared" si="21"/>
        <v>0</v>
      </c>
      <c r="V65" s="1180"/>
      <c r="W65" s="1180"/>
      <c r="X65" s="1183"/>
      <c r="Y65" s="3093"/>
    </row>
    <row r="66" spans="1:25">
      <c r="A66" s="3092">
        <v>4143</v>
      </c>
      <c r="B66" s="1173"/>
      <c r="C66" s="3041" t="s">
        <v>123</v>
      </c>
      <c r="D66" s="3095" t="s">
        <v>1457</v>
      </c>
      <c r="E66" s="1156" t="s">
        <v>1673</v>
      </c>
      <c r="F66" s="1192"/>
      <c r="G66" s="1192"/>
      <c r="H66" s="1192"/>
      <c r="I66" s="1192"/>
      <c r="J66" s="1192"/>
      <c r="K66" s="1192"/>
      <c r="L66" s="1209">
        <f>L67</f>
        <v>1</v>
      </c>
      <c r="M66" s="880"/>
      <c r="N66" s="1060">
        <f>SUM(N67)</f>
        <v>0</v>
      </c>
      <c r="O66" s="3073">
        <f>IF(Q66=0,"na",N66)</f>
        <v>0</v>
      </c>
      <c r="P66" s="853">
        <f t="shared" ref="P66:S66" si="26">SUM(P67)</f>
        <v>730858662</v>
      </c>
      <c r="Q66" s="853">
        <f t="shared" si="26"/>
        <v>730858662</v>
      </c>
      <c r="R66" s="853">
        <f t="shared" si="26"/>
        <v>0</v>
      </c>
      <c r="S66" s="853">
        <f t="shared" si="26"/>
        <v>0</v>
      </c>
      <c r="T66" s="1060">
        <f t="shared" si="21"/>
        <v>0</v>
      </c>
      <c r="U66" s="1060">
        <f t="shared" si="21"/>
        <v>0</v>
      </c>
      <c r="V66" s="1180"/>
      <c r="W66" s="1180"/>
      <c r="X66" s="1183"/>
      <c r="Y66" s="3099" t="s">
        <v>1408</v>
      </c>
    </row>
    <row r="67" spans="1:25" ht="66">
      <c r="A67" s="3093"/>
      <c r="B67" s="1173"/>
      <c r="C67" s="3093"/>
      <c r="D67" s="3093"/>
      <c r="E67" s="1156" t="s">
        <v>1458</v>
      </c>
      <c r="F67" s="1192"/>
      <c r="G67" s="1193" t="s">
        <v>1416</v>
      </c>
      <c r="H67" s="1156"/>
      <c r="I67" s="1193" t="s">
        <v>1459</v>
      </c>
      <c r="J67" s="1193" t="s">
        <v>1418</v>
      </c>
      <c r="K67" s="1218">
        <v>2</v>
      </c>
      <c r="L67" s="1210">
        <v>1</v>
      </c>
      <c r="M67" s="880">
        <v>0</v>
      </c>
      <c r="N67" s="1060">
        <v>0</v>
      </c>
      <c r="O67" s="3096"/>
      <c r="P67" s="1081">
        <v>730858662</v>
      </c>
      <c r="Q67" s="1081">
        <v>730858662</v>
      </c>
      <c r="R67" s="1081">
        <v>0</v>
      </c>
      <c r="S67" s="1081">
        <v>0</v>
      </c>
      <c r="T67" s="1212">
        <f t="shared" si="21"/>
        <v>0</v>
      </c>
      <c r="U67" s="1212">
        <f t="shared" si="21"/>
        <v>0</v>
      </c>
      <c r="V67" s="1180"/>
      <c r="W67" s="1180"/>
      <c r="X67" s="1183"/>
      <c r="Y67" s="3093"/>
    </row>
    <row r="68" spans="1:25" ht="15.6">
      <c r="A68" s="1156"/>
      <c r="B68" s="1172">
        <v>5204</v>
      </c>
      <c r="C68" s="1163" t="s">
        <v>115</v>
      </c>
      <c r="D68" s="1157" t="s">
        <v>1460</v>
      </c>
      <c r="E68" s="1173"/>
      <c r="F68" s="1173"/>
      <c r="G68" s="1173"/>
      <c r="H68" s="1173"/>
      <c r="I68" s="1173"/>
      <c r="J68" s="1173"/>
      <c r="K68" s="1173"/>
      <c r="L68" s="1201"/>
      <c r="M68" s="880"/>
      <c r="N68" s="1060"/>
      <c r="O68" s="1061"/>
      <c r="P68" s="1081"/>
      <c r="Q68" s="1081"/>
      <c r="R68" s="1081"/>
      <c r="S68" s="1081"/>
      <c r="T68" s="1060"/>
      <c r="U68" s="1060"/>
      <c r="V68" s="1180"/>
      <c r="W68" s="1180"/>
      <c r="X68" s="1183"/>
      <c r="Y68" s="1173"/>
    </row>
    <row r="69" spans="1:25">
      <c r="A69" s="1156"/>
      <c r="B69" s="1172">
        <v>5204001</v>
      </c>
      <c r="C69" s="1172" t="s">
        <v>116</v>
      </c>
      <c r="D69" s="1166" t="s">
        <v>1461</v>
      </c>
      <c r="E69" s="1173"/>
      <c r="F69" s="1173"/>
      <c r="G69" s="1173"/>
      <c r="H69" s="1173"/>
      <c r="I69" s="1173"/>
      <c r="J69" s="1173"/>
      <c r="K69" s="1173"/>
      <c r="L69" s="1201"/>
      <c r="M69" s="880"/>
      <c r="N69" s="1060"/>
      <c r="O69" s="1061"/>
      <c r="P69" s="1081"/>
      <c r="Q69" s="1081"/>
      <c r="R69" s="1081"/>
      <c r="S69" s="1081"/>
      <c r="T69" s="1060"/>
      <c r="U69" s="1060"/>
      <c r="V69" s="1180"/>
      <c r="W69" s="1180"/>
      <c r="X69" s="1183"/>
      <c r="Y69" s="1173"/>
    </row>
    <row r="70" spans="1:25" s="46" customFormat="1" ht="27.6">
      <c r="A70" s="1216"/>
      <c r="B70" s="1216">
        <v>52040010001</v>
      </c>
      <c r="C70" s="1216" t="s">
        <v>117</v>
      </c>
      <c r="D70" s="1175" t="s">
        <v>1462</v>
      </c>
      <c r="E70" s="1205"/>
      <c r="F70" s="1229"/>
      <c r="G70" s="1205"/>
      <c r="H70" s="1205"/>
      <c r="I70" s="1205"/>
      <c r="J70" s="1205"/>
      <c r="K70" s="1205"/>
      <c r="L70" s="1247"/>
      <c r="M70" s="1024"/>
      <c r="N70" s="1249"/>
      <c r="O70" s="1253"/>
      <c r="P70" s="1258"/>
      <c r="Q70" s="1258"/>
      <c r="R70" s="1258"/>
      <c r="S70" s="1258"/>
      <c r="T70" s="1249"/>
      <c r="U70" s="1249"/>
      <c r="V70" s="1250"/>
      <c r="W70" s="1250"/>
      <c r="X70" s="1259"/>
      <c r="Y70" s="1205"/>
    </row>
    <row r="71" spans="1:25">
      <c r="A71" s="3092">
        <v>4143</v>
      </c>
      <c r="B71" s="1173"/>
      <c r="C71" s="3092" t="s">
        <v>123</v>
      </c>
      <c r="D71" s="3095" t="s">
        <v>1463</v>
      </c>
      <c r="E71" s="1156" t="s">
        <v>1674</v>
      </c>
      <c r="F71" s="1217"/>
      <c r="G71" s="1192"/>
      <c r="H71" s="1192"/>
      <c r="I71" s="1192"/>
      <c r="J71" s="1192"/>
      <c r="K71" s="1192"/>
      <c r="L71" s="1209">
        <f>L72</f>
        <v>1</v>
      </c>
      <c r="M71" s="880"/>
      <c r="N71" s="1060">
        <f>SUM(N72)</f>
        <v>0</v>
      </c>
      <c r="O71" s="3073">
        <f>IF(Q71=0,"na",N71)</f>
        <v>0</v>
      </c>
      <c r="P71" s="853">
        <f t="shared" ref="P71:S71" si="27">SUM(P72)</f>
        <v>674803554</v>
      </c>
      <c r="Q71" s="853">
        <f t="shared" si="27"/>
        <v>674803554</v>
      </c>
      <c r="R71" s="853">
        <f t="shared" si="27"/>
        <v>0</v>
      </c>
      <c r="S71" s="853">
        <f t="shared" si="27"/>
        <v>0</v>
      </c>
      <c r="T71" s="1060">
        <f t="shared" ref="T71:U72" si="28">IF(Q71=0,0,R71/Q71)</f>
        <v>0</v>
      </c>
      <c r="U71" s="1060">
        <f t="shared" si="28"/>
        <v>0</v>
      </c>
      <c r="V71" s="1180"/>
      <c r="W71" s="1180"/>
      <c r="X71" s="1183"/>
      <c r="Y71" s="3099" t="s">
        <v>1379</v>
      </c>
    </row>
    <row r="72" spans="1:25" ht="92.4">
      <c r="A72" s="3093"/>
      <c r="B72" s="1173"/>
      <c r="C72" s="3093"/>
      <c r="D72" s="3093"/>
      <c r="E72" s="1156" t="s">
        <v>1464</v>
      </c>
      <c r="F72" s="1217"/>
      <c r="G72" s="1193" t="s">
        <v>1465</v>
      </c>
      <c r="H72" s="1156"/>
      <c r="I72" s="1193" t="s">
        <v>1466</v>
      </c>
      <c r="J72" s="1193" t="s">
        <v>1467</v>
      </c>
      <c r="K72" s="1218">
        <v>9075</v>
      </c>
      <c r="L72" s="1210">
        <v>1</v>
      </c>
      <c r="M72" s="880">
        <v>0</v>
      </c>
      <c r="N72" s="1060">
        <v>0</v>
      </c>
      <c r="O72" s="3096"/>
      <c r="P72" s="1081">
        <v>674803554</v>
      </c>
      <c r="Q72" s="1081">
        <v>674803554</v>
      </c>
      <c r="R72" s="1081">
        <v>0</v>
      </c>
      <c r="S72" s="1081">
        <v>0</v>
      </c>
      <c r="T72" s="1212">
        <f t="shared" si="28"/>
        <v>0</v>
      </c>
      <c r="U72" s="1212">
        <f t="shared" si="28"/>
        <v>0</v>
      </c>
      <c r="V72" s="1180"/>
      <c r="W72" s="1180"/>
      <c r="X72" s="1183"/>
      <c r="Y72" s="3093"/>
    </row>
    <row r="73" spans="1:25" s="46" customFormat="1" ht="27.6">
      <c r="A73" s="1216"/>
      <c r="B73" s="1216">
        <v>52040010002</v>
      </c>
      <c r="C73" s="1216" t="s">
        <v>117</v>
      </c>
      <c r="D73" s="1175" t="s">
        <v>1468</v>
      </c>
      <c r="E73" s="1205"/>
      <c r="F73" s="1229"/>
      <c r="G73" s="1205"/>
      <c r="H73" s="1216"/>
      <c r="I73" s="1205"/>
      <c r="J73" s="1205"/>
      <c r="K73" s="1205"/>
      <c r="L73" s="1247"/>
      <c r="M73" s="1024"/>
      <c r="N73" s="1249"/>
      <c r="O73" s="1253"/>
      <c r="P73" s="1258"/>
      <c r="Q73" s="1258"/>
      <c r="R73" s="1258"/>
      <c r="S73" s="1258"/>
      <c r="T73" s="1249"/>
      <c r="U73" s="1249"/>
      <c r="V73" s="1250"/>
      <c r="W73" s="1250"/>
      <c r="X73" s="1259"/>
      <c r="Y73" s="1205"/>
    </row>
    <row r="74" spans="1:25">
      <c r="A74" s="1156"/>
      <c r="B74" s="1173"/>
      <c r="C74" s="3092" t="s">
        <v>123</v>
      </c>
      <c r="D74" s="3095" t="s">
        <v>1469</v>
      </c>
      <c r="E74" s="1156" t="s">
        <v>1675</v>
      </c>
      <c r="F74" s="1217"/>
      <c r="G74" s="1192"/>
      <c r="H74" s="1192"/>
      <c r="I74" s="1192"/>
      <c r="J74" s="1192"/>
      <c r="K74" s="1192"/>
      <c r="L74" s="1209">
        <f>SUM(L75:L76)</f>
        <v>1</v>
      </c>
      <c r="M74" s="880"/>
      <c r="N74" s="1060">
        <f>SUM(N75:N76)</f>
        <v>0.1822</v>
      </c>
      <c r="O74" s="3073">
        <f>IF(Q74=0,"na",N74)</f>
        <v>0.1822</v>
      </c>
      <c r="P74" s="853">
        <f t="shared" ref="P74:S74" si="29">SUM(P75:P76)</f>
        <v>723650367755</v>
      </c>
      <c r="Q74" s="853">
        <f t="shared" si="29"/>
        <v>723650367755</v>
      </c>
      <c r="R74" s="853">
        <f t="shared" si="29"/>
        <v>184402416862</v>
      </c>
      <c r="S74" s="853">
        <f t="shared" si="29"/>
        <v>134646822566</v>
      </c>
      <c r="T74" s="1060">
        <f t="shared" ref="T74:U89" si="30">IF(Q74=0,0,R74/Q74)</f>
        <v>0.25482252905374259</v>
      </c>
      <c r="U74" s="1060">
        <f t="shared" si="30"/>
        <v>0.73017927236151536</v>
      </c>
      <c r="V74" s="1180"/>
      <c r="W74" s="1180"/>
      <c r="X74" s="1183"/>
      <c r="Y74" s="3099" t="s">
        <v>1470</v>
      </c>
    </row>
    <row r="75" spans="1:25" ht="145.19999999999999">
      <c r="A75" s="3092">
        <v>4143</v>
      </c>
      <c r="B75" s="1173"/>
      <c r="C75" s="3093"/>
      <c r="D75" s="3093"/>
      <c r="E75" s="1156" t="s">
        <v>1471</v>
      </c>
      <c r="F75" s="1217"/>
      <c r="G75" s="857" t="s">
        <v>1472</v>
      </c>
      <c r="H75" s="1156"/>
      <c r="I75" s="857" t="s">
        <v>1473</v>
      </c>
      <c r="J75" s="1193" t="s">
        <v>1474</v>
      </c>
      <c r="K75" s="1218">
        <v>92</v>
      </c>
      <c r="L75" s="1210">
        <v>0.9</v>
      </c>
      <c r="M75" s="880">
        <v>92</v>
      </c>
      <c r="N75" s="1060">
        <v>0.16400000000000001</v>
      </c>
      <c r="O75" s="3096"/>
      <c r="P75" s="1081">
        <v>719744925426</v>
      </c>
      <c r="Q75" s="1081">
        <v>719744925426</v>
      </c>
      <c r="R75" s="1081">
        <v>183577670599</v>
      </c>
      <c r="S75" s="1081">
        <v>134005793814</v>
      </c>
      <c r="T75" s="1212">
        <f t="shared" si="30"/>
        <v>0.25505934687951393</v>
      </c>
      <c r="U75" s="1212">
        <f t="shared" si="30"/>
        <v>0.7299678298387231</v>
      </c>
      <c r="V75" s="1180">
        <v>45323</v>
      </c>
      <c r="W75" s="1180">
        <v>45657</v>
      </c>
      <c r="X75" s="1188" t="s">
        <v>1475</v>
      </c>
      <c r="Y75" s="3093"/>
    </row>
    <row r="76" spans="1:25" ht="52.8">
      <c r="A76" s="3093"/>
      <c r="B76" s="1173"/>
      <c r="C76" s="3093"/>
      <c r="D76" s="3093"/>
      <c r="E76" s="1156" t="s">
        <v>1476</v>
      </c>
      <c r="F76" s="1217"/>
      <c r="G76" s="1192"/>
      <c r="H76" s="1192"/>
      <c r="I76" s="857" t="s">
        <v>1477</v>
      </c>
      <c r="J76" s="1193" t="s">
        <v>1478</v>
      </c>
      <c r="K76" s="1218">
        <v>62</v>
      </c>
      <c r="L76" s="1210">
        <v>0.1</v>
      </c>
      <c r="M76" s="880">
        <v>62</v>
      </c>
      <c r="N76" s="1060">
        <v>1.8200000000000001E-2</v>
      </c>
      <c r="O76" s="3096"/>
      <c r="P76" s="1081">
        <v>3905442329</v>
      </c>
      <c r="Q76" s="1081">
        <v>3905442329</v>
      </c>
      <c r="R76" s="1081">
        <v>824746263</v>
      </c>
      <c r="S76" s="1081">
        <v>641028752</v>
      </c>
      <c r="T76" s="1212">
        <f t="shared" si="30"/>
        <v>0.21117870743496006</v>
      </c>
      <c r="U76" s="1212">
        <f t="shared" si="30"/>
        <v>0.77724359691945644</v>
      </c>
      <c r="V76" s="1180">
        <v>45323</v>
      </c>
      <c r="W76" s="1180">
        <v>45657</v>
      </c>
      <c r="X76" s="1183" t="s">
        <v>1479</v>
      </c>
      <c r="Y76" s="3093"/>
    </row>
    <row r="77" spans="1:25">
      <c r="A77" s="3092">
        <v>4143</v>
      </c>
      <c r="B77" s="1173"/>
      <c r="C77" s="3092" t="s">
        <v>123</v>
      </c>
      <c r="D77" s="3095" t="s">
        <v>1480</v>
      </c>
      <c r="E77" s="1156" t="s">
        <v>1676</v>
      </c>
      <c r="F77" s="1192"/>
      <c r="G77" s="1192"/>
      <c r="H77" s="1192"/>
      <c r="I77" s="1192"/>
      <c r="J77" s="1192"/>
      <c r="K77" s="1192"/>
      <c r="L77" s="1209">
        <f>SUM(L72)</f>
        <v>1</v>
      </c>
      <c r="M77" s="880"/>
      <c r="N77" s="1060">
        <f>SUM(N78)</f>
        <v>0.15</v>
      </c>
      <c r="O77" s="3073">
        <f>IF(Q77=0,"na",N77)</f>
        <v>0.15</v>
      </c>
      <c r="P77" s="853">
        <f t="shared" ref="P77:S77" si="31">SUM(P78)</f>
        <v>140476006238</v>
      </c>
      <c r="Q77" s="853">
        <f t="shared" si="31"/>
        <v>140476006238</v>
      </c>
      <c r="R77" s="853">
        <f t="shared" si="31"/>
        <v>138815065962</v>
      </c>
      <c r="S77" s="853">
        <f t="shared" si="31"/>
        <v>21582052220</v>
      </c>
      <c r="T77" s="1060">
        <f t="shared" si="30"/>
        <v>0.98817634185025183</v>
      </c>
      <c r="U77" s="1060">
        <f t="shared" si="30"/>
        <v>0.15547341400182016</v>
      </c>
      <c r="V77" s="1180"/>
      <c r="W77" s="1180"/>
      <c r="X77" s="1189"/>
      <c r="Y77" s="3099" t="s">
        <v>1379</v>
      </c>
    </row>
    <row r="78" spans="1:25" ht="118.8">
      <c r="A78" s="3093"/>
      <c r="B78" s="1173"/>
      <c r="C78" s="3093"/>
      <c r="D78" s="3093"/>
      <c r="E78" s="1156" t="s">
        <v>1481</v>
      </c>
      <c r="F78" s="1192"/>
      <c r="G78" s="1193" t="s">
        <v>1482</v>
      </c>
      <c r="H78" s="1156"/>
      <c r="I78" s="1193" t="s">
        <v>1483</v>
      </c>
      <c r="J78" s="1193" t="s">
        <v>1484</v>
      </c>
      <c r="K78" s="1218">
        <v>59414</v>
      </c>
      <c r="L78" s="1210">
        <v>1</v>
      </c>
      <c r="M78" s="880">
        <v>42173</v>
      </c>
      <c r="N78" s="1060">
        <v>0.15</v>
      </c>
      <c r="O78" s="3096"/>
      <c r="P78" s="1081">
        <v>140476006238</v>
      </c>
      <c r="Q78" s="1081">
        <v>140476006238</v>
      </c>
      <c r="R78" s="1081">
        <v>138815065962</v>
      </c>
      <c r="S78" s="1081">
        <v>21582052220</v>
      </c>
      <c r="T78" s="1212">
        <f t="shared" si="30"/>
        <v>0.98817634185025183</v>
      </c>
      <c r="U78" s="1212">
        <f t="shared" si="30"/>
        <v>0.15547341400182016</v>
      </c>
      <c r="V78" s="1180" t="s">
        <v>1485</v>
      </c>
      <c r="W78" s="1180" t="s">
        <v>1486</v>
      </c>
      <c r="X78" s="1183" t="s">
        <v>1487</v>
      </c>
      <c r="Y78" s="3093"/>
    </row>
    <row r="79" spans="1:25">
      <c r="A79" s="3092">
        <v>4143</v>
      </c>
      <c r="B79" s="1173"/>
      <c r="C79" s="3092" t="s">
        <v>123</v>
      </c>
      <c r="D79" s="3095" t="s">
        <v>1488</v>
      </c>
      <c r="E79" s="1156" t="s">
        <v>1677</v>
      </c>
      <c r="F79" s="1192"/>
      <c r="G79" s="1192"/>
      <c r="H79" s="1192"/>
      <c r="I79" s="1192"/>
      <c r="J79" s="1192"/>
      <c r="K79" s="1192"/>
      <c r="L79" s="1209">
        <f>SUM(L80:L81)</f>
        <v>1</v>
      </c>
      <c r="M79" s="880"/>
      <c r="N79" s="1060">
        <f>SUM(N80:N81)</f>
        <v>0.20499999999999999</v>
      </c>
      <c r="O79" s="3073">
        <f>IF(Q79=0,"na",N79)</f>
        <v>0.20499999999999999</v>
      </c>
      <c r="P79" s="853">
        <f t="shared" ref="P79:S79" si="32">SUM(P80:P81)</f>
        <v>15068766746</v>
      </c>
      <c r="Q79" s="853">
        <f t="shared" si="32"/>
        <v>15068766746</v>
      </c>
      <c r="R79" s="853">
        <f t="shared" si="32"/>
        <v>1179436459</v>
      </c>
      <c r="S79" s="853">
        <f t="shared" si="32"/>
        <v>0</v>
      </c>
      <c r="T79" s="1060">
        <f t="shared" si="30"/>
        <v>7.8270271142997228E-2</v>
      </c>
      <c r="U79" s="1060">
        <f t="shared" si="30"/>
        <v>0</v>
      </c>
      <c r="V79" s="1180"/>
      <c r="W79" s="1180"/>
      <c r="X79" s="1188"/>
      <c r="Y79" s="3099" t="s">
        <v>1470</v>
      </c>
    </row>
    <row r="80" spans="1:25" ht="79.2">
      <c r="A80" s="3093"/>
      <c r="B80" s="1173"/>
      <c r="C80" s="3093"/>
      <c r="D80" s="3093"/>
      <c r="E80" s="1156" t="s">
        <v>1489</v>
      </c>
      <c r="F80" s="1192"/>
      <c r="G80" s="1192"/>
      <c r="H80" s="1192"/>
      <c r="I80" s="1193" t="s">
        <v>1490</v>
      </c>
      <c r="J80" s="1193" t="s">
        <v>1491</v>
      </c>
      <c r="K80" s="1218">
        <v>1</v>
      </c>
      <c r="L80" s="1210">
        <v>0.5</v>
      </c>
      <c r="M80" s="880">
        <v>1</v>
      </c>
      <c r="N80" s="1060">
        <v>0.20499999999999999</v>
      </c>
      <c r="O80" s="3096"/>
      <c r="P80" s="1081">
        <v>2504000000</v>
      </c>
      <c r="Q80" s="1081">
        <v>2504000000</v>
      </c>
      <c r="R80" s="1081">
        <v>1179436459</v>
      </c>
      <c r="S80" s="1081">
        <v>0</v>
      </c>
      <c r="T80" s="1212">
        <f t="shared" si="30"/>
        <v>0.47102095007987221</v>
      </c>
      <c r="U80" s="1212">
        <f t="shared" si="30"/>
        <v>0</v>
      </c>
      <c r="V80" s="1180">
        <v>45357</v>
      </c>
      <c r="W80" s="1180">
        <v>45626</v>
      </c>
      <c r="X80" s="1188" t="s">
        <v>1492</v>
      </c>
      <c r="Y80" s="3093"/>
    </row>
    <row r="81" spans="1:25" ht="66">
      <c r="A81" s="3093"/>
      <c r="B81" s="1173"/>
      <c r="C81" s="3093"/>
      <c r="D81" s="3093"/>
      <c r="E81" s="1156" t="s">
        <v>1493</v>
      </c>
      <c r="F81" s="1192"/>
      <c r="G81" s="1192"/>
      <c r="H81" s="1192"/>
      <c r="I81" s="1193" t="s">
        <v>1494</v>
      </c>
      <c r="J81" s="1193" t="s">
        <v>1495</v>
      </c>
      <c r="K81" s="1218">
        <v>168858</v>
      </c>
      <c r="L81" s="1210">
        <v>0.5</v>
      </c>
      <c r="M81" s="880">
        <v>0</v>
      </c>
      <c r="N81" s="1060">
        <v>0</v>
      </c>
      <c r="O81" s="3096"/>
      <c r="P81" s="1081">
        <v>12564766746</v>
      </c>
      <c r="Q81" s="1081">
        <v>12564766746</v>
      </c>
      <c r="R81" s="1081">
        <v>0</v>
      </c>
      <c r="S81" s="1081">
        <v>0</v>
      </c>
      <c r="T81" s="1212">
        <f t="shared" si="30"/>
        <v>0</v>
      </c>
      <c r="U81" s="1212">
        <f t="shared" si="30"/>
        <v>0</v>
      </c>
      <c r="V81" s="1180"/>
      <c r="W81" s="1180"/>
      <c r="X81" s="1183"/>
      <c r="Y81" s="1193" t="s">
        <v>1470</v>
      </c>
    </row>
    <row r="82" spans="1:25">
      <c r="A82" s="3092">
        <v>4143</v>
      </c>
      <c r="B82" s="1173"/>
      <c r="C82" s="3092" t="s">
        <v>123</v>
      </c>
      <c r="D82" s="3095" t="s">
        <v>1496</v>
      </c>
      <c r="E82" s="1156" t="s">
        <v>1678</v>
      </c>
      <c r="F82" s="1192"/>
      <c r="G82" s="1192"/>
      <c r="H82" s="1192"/>
      <c r="I82" s="1192"/>
      <c r="J82" s="1192"/>
      <c r="K82" s="1192"/>
      <c r="L82" s="1209">
        <f>L83</f>
        <v>1</v>
      </c>
      <c r="M82" s="880"/>
      <c r="N82" s="1060">
        <f>SUM(N83)</f>
        <v>0.25</v>
      </c>
      <c r="O82" s="3073">
        <f>IF(Q82=0,"na",N82)</f>
        <v>0.25</v>
      </c>
      <c r="P82" s="853">
        <f t="shared" ref="P82:S82" si="33">SUM(P83)</f>
        <v>8000000000</v>
      </c>
      <c r="Q82" s="853">
        <f t="shared" si="33"/>
        <v>8000000000</v>
      </c>
      <c r="R82" s="853">
        <f t="shared" si="33"/>
        <v>3186825937</v>
      </c>
      <c r="S82" s="853">
        <f t="shared" si="33"/>
        <v>3186825937</v>
      </c>
      <c r="T82" s="1060">
        <f t="shared" si="30"/>
        <v>0.39835324212500001</v>
      </c>
      <c r="U82" s="1060">
        <f t="shared" si="30"/>
        <v>1</v>
      </c>
      <c r="V82" s="1180"/>
      <c r="W82" s="1180"/>
      <c r="X82" s="1183"/>
      <c r="Y82" s="3099" t="s">
        <v>1470</v>
      </c>
    </row>
    <row r="83" spans="1:25" ht="66">
      <c r="A83" s="3093"/>
      <c r="B83" s="1173"/>
      <c r="C83" s="3093"/>
      <c r="D83" s="3093"/>
      <c r="E83" s="1156" t="s">
        <v>1497</v>
      </c>
      <c r="F83" s="1192"/>
      <c r="G83" s="1192"/>
      <c r="H83" s="1192"/>
      <c r="I83" s="1193" t="s">
        <v>1498</v>
      </c>
      <c r="J83" s="1193" t="s">
        <v>1474</v>
      </c>
      <c r="K83" s="1218">
        <v>92</v>
      </c>
      <c r="L83" s="1210">
        <v>1</v>
      </c>
      <c r="M83" s="880">
        <v>92</v>
      </c>
      <c r="N83" s="1060">
        <v>0.25</v>
      </c>
      <c r="O83" s="3096"/>
      <c r="P83" s="1081">
        <v>8000000000</v>
      </c>
      <c r="Q83" s="1081">
        <v>8000000000</v>
      </c>
      <c r="R83" s="1081">
        <v>3186825937</v>
      </c>
      <c r="S83" s="1081">
        <v>3186825937</v>
      </c>
      <c r="T83" s="1212">
        <f t="shared" si="30"/>
        <v>0.39835324212500001</v>
      </c>
      <c r="U83" s="1212">
        <f t="shared" si="30"/>
        <v>1</v>
      </c>
      <c r="V83" s="1180">
        <v>45323</v>
      </c>
      <c r="W83" s="1180">
        <v>45657</v>
      </c>
      <c r="X83" s="1183" t="s">
        <v>1499</v>
      </c>
      <c r="Y83" s="3093"/>
    </row>
    <row r="84" spans="1:25">
      <c r="A84" s="3092">
        <v>4143</v>
      </c>
      <c r="B84" s="1173"/>
      <c r="C84" s="3092" t="s">
        <v>123</v>
      </c>
      <c r="D84" s="3095" t="s">
        <v>1500</v>
      </c>
      <c r="E84" s="1156" t="s">
        <v>1679</v>
      </c>
      <c r="F84" s="1192"/>
      <c r="G84" s="1192"/>
      <c r="H84" s="1192"/>
      <c r="I84" s="1192"/>
      <c r="J84" s="1192"/>
      <c r="K84" s="1192"/>
      <c r="L84" s="1209">
        <f>SUM(L85)</f>
        <v>1</v>
      </c>
      <c r="M84" s="880"/>
      <c r="N84" s="1060">
        <f>SUM(N85)</f>
        <v>0.375</v>
      </c>
      <c r="O84" s="3073">
        <f>IF(Q84=0,"na",N84)</f>
        <v>0.375</v>
      </c>
      <c r="P84" s="853">
        <f t="shared" ref="P84:S84" si="34">SUM(P85)</f>
        <v>1443703530</v>
      </c>
      <c r="Q84" s="853">
        <f t="shared" si="34"/>
        <v>1443703530</v>
      </c>
      <c r="R84" s="853">
        <f t="shared" si="34"/>
        <v>1397302054</v>
      </c>
      <c r="S84" s="853">
        <f t="shared" si="34"/>
        <v>0</v>
      </c>
      <c r="T84" s="1060">
        <f t="shared" si="30"/>
        <v>0.96785941501438322</v>
      </c>
      <c r="U84" s="1060">
        <f t="shared" si="30"/>
        <v>0</v>
      </c>
      <c r="V84" s="1180"/>
      <c r="W84" s="1180"/>
      <c r="X84" s="1183"/>
      <c r="Y84" s="3099" t="s">
        <v>1470</v>
      </c>
    </row>
    <row r="85" spans="1:25" ht="52.8">
      <c r="A85" s="3093"/>
      <c r="B85" s="1173"/>
      <c r="C85" s="3093"/>
      <c r="D85" s="3093"/>
      <c r="E85" s="1156" t="s">
        <v>1501</v>
      </c>
      <c r="F85" s="1192"/>
      <c r="G85" s="1192"/>
      <c r="H85" s="1192"/>
      <c r="I85" s="1193" t="s">
        <v>1502</v>
      </c>
      <c r="J85" s="1193" t="s">
        <v>1474</v>
      </c>
      <c r="K85" s="1218">
        <v>25</v>
      </c>
      <c r="L85" s="1210">
        <v>1</v>
      </c>
      <c r="M85" s="880">
        <v>11</v>
      </c>
      <c r="N85" s="1060">
        <v>0.375</v>
      </c>
      <c r="O85" s="3096"/>
      <c r="P85" s="1081">
        <v>1443703530</v>
      </c>
      <c r="Q85" s="1081">
        <v>1443703530</v>
      </c>
      <c r="R85" s="1081">
        <v>1397302054</v>
      </c>
      <c r="S85" s="1081">
        <v>0</v>
      </c>
      <c r="T85" s="1212">
        <f t="shared" si="30"/>
        <v>0.96785941501438322</v>
      </c>
      <c r="U85" s="1212">
        <f t="shared" si="30"/>
        <v>0</v>
      </c>
      <c r="V85" s="1180">
        <v>45323</v>
      </c>
      <c r="W85" s="1180">
        <v>45657</v>
      </c>
      <c r="X85" s="1189" t="s">
        <v>1503</v>
      </c>
      <c r="Y85" s="3093"/>
    </row>
    <row r="86" spans="1:25">
      <c r="A86" s="3092">
        <v>4143</v>
      </c>
      <c r="B86" s="1173"/>
      <c r="C86" s="3092" t="s">
        <v>123</v>
      </c>
      <c r="D86" s="3095" t="s">
        <v>1504</v>
      </c>
      <c r="E86" s="1219" t="s">
        <v>1680</v>
      </c>
      <c r="F86" s="1217"/>
      <c r="G86" s="1192"/>
      <c r="H86" s="1192"/>
      <c r="I86" s="1192"/>
      <c r="J86" s="1192"/>
      <c r="K86" s="1192"/>
      <c r="L86" s="1209">
        <f>SUM(L87)</f>
        <v>1</v>
      </c>
      <c r="M86" s="880"/>
      <c r="N86" s="1060">
        <f>SUM(N87)</f>
        <v>0.26</v>
      </c>
      <c r="O86" s="3073">
        <f>IF(Q86=0,"na",N86)</f>
        <v>0.26</v>
      </c>
      <c r="P86" s="853">
        <f t="shared" ref="P86:S86" si="35">SUM(P87)</f>
        <v>55163328174</v>
      </c>
      <c r="Q86" s="853">
        <f t="shared" si="35"/>
        <v>55163328174</v>
      </c>
      <c r="R86" s="853">
        <f t="shared" si="35"/>
        <v>39888184048</v>
      </c>
      <c r="S86" s="853">
        <f t="shared" si="35"/>
        <v>1392157421</v>
      </c>
      <c r="T86" s="1060">
        <f t="shared" si="30"/>
        <v>0.72309241244802924</v>
      </c>
      <c r="U86" s="1060">
        <f t="shared" si="30"/>
        <v>3.4901499133796816E-2</v>
      </c>
      <c r="V86" s="1180"/>
      <c r="W86" s="1180"/>
      <c r="X86" s="1189"/>
      <c r="Y86" s="3099" t="s">
        <v>1470</v>
      </c>
    </row>
    <row r="87" spans="1:25" ht="66">
      <c r="A87" s="3093"/>
      <c r="B87" s="1173"/>
      <c r="C87" s="3093"/>
      <c r="D87" s="3093"/>
      <c r="E87" s="1219" t="s">
        <v>1505</v>
      </c>
      <c r="F87" s="1217"/>
      <c r="G87" s="1192"/>
      <c r="H87" s="1192"/>
      <c r="I87" s="1193" t="s">
        <v>1506</v>
      </c>
      <c r="J87" s="1193" t="s">
        <v>1474</v>
      </c>
      <c r="K87" s="1218">
        <v>92</v>
      </c>
      <c r="L87" s="1210">
        <v>1</v>
      </c>
      <c r="M87" s="880">
        <v>92</v>
      </c>
      <c r="N87" s="1060">
        <v>0.26</v>
      </c>
      <c r="O87" s="3096"/>
      <c r="P87" s="1081">
        <v>55163328174</v>
      </c>
      <c r="Q87" s="1081">
        <v>55163328174</v>
      </c>
      <c r="R87" s="1081">
        <v>39888184048</v>
      </c>
      <c r="S87" s="1081">
        <v>1392157421</v>
      </c>
      <c r="T87" s="1212">
        <f t="shared" si="30"/>
        <v>0.72309241244802924</v>
      </c>
      <c r="U87" s="1212">
        <f t="shared" si="30"/>
        <v>3.4901499133796816E-2</v>
      </c>
      <c r="V87" s="1180">
        <v>45323</v>
      </c>
      <c r="W87" s="1180">
        <v>45657</v>
      </c>
      <c r="X87" s="1189" t="s">
        <v>1507</v>
      </c>
      <c r="Y87" s="3093"/>
    </row>
    <row r="88" spans="1:25">
      <c r="A88" s="3092">
        <v>4143</v>
      </c>
      <c r="B88" s="1173"/>
      <c r="C88" s="3092" t="s">
        <v>123</v>
      </c>
      <c r="D88" s="3095" t="s">
        <v>1508</v>
      </c>
      <c r="E88" s="1219" t="s">
        <v>1681</v>
      </c>
      <c r="F88" s="1217"/>
      <c r="G88" s="1192"/>
      <c r="H88" s="1192"/>
      <c r="I88" s="1192"/>
      <c r="J88" s="1192"/>
      <c r="K88" s="1192"/>
      <c r="L88" s="1209">
        <f>L89</f>
        <v>1</v>
      </c>
      <c r="M88" s="880"/>
      <c r="N88" s="1060">
        <f>SUM(N89)</f>
        <v>1.7500000000000002E-2</v>
      </c>
      <c r="O88" s="3073">
        <f>IF(Q88=0,"na",N88)</f>
        <v>1.7500000000000002E-2</v>
      </c>
      <c r="P88" s="853">
        <f t="shared" ref="P88:S88" si="36">SUM(P89)</f>
        <v>575139400</v>
      </c>
      <c r="Q88" s="853">
        <f t="shared" si="36"/>
        <v>575139400</v>
      </c>
      <c r="R88" s="853">
        <f t="shared" si="36"/>
        <v>88192000</v>
      </c>
      <c r="S88" s="853">
        <f t="shared" si="36"/>
        <v>60374000</v>
      </c>
      <c r="T88" s="1060">
        <f t="shared" si="30"/>
        <v>0.1533402163023434</v>
      </c>
      <c r="U88" s="1060">
        <f t="shared" si="30"/>
        <v>0.68457456458635702</v>
      </c>
      <c r="V88" s="1180"/>
      <c r="W88" s="1180"/>
      <c r="X88" s="1189"/>
      <c r="Y88" s="3099" t="s">
        <v>1509</v>
      </c>
    </row>
    <row r="89" spans="1:25" ht="52.8">
      <c r="A89" s="3093"/>
      <c r="B89" s="1173"/>
      <c r="C89" s="3093"/>
      <c r="D89" s="3093"/>
      <c r="E89" s="1219" t="s">
        <v>1510</v>
      </c>
      <c r="F89" s="1217"/>
      <c r="G89" s="1192"/>
      <c r="H89" s="1192"/>
      <c r="I89" s="1193" t="s">
        <v>1511</v>
      </c>
      <c r="J89" s="1193" t="s">
        <v>1512</v>
      </c>
      <c r="K89" s="1218">
        <v>152</v>
      </c>
      <c r="L89" s="1210">
        <v>1</v>
      </c>
      <c r="M89" s="880">
        <v>0</v>
      </c>
      <c r="N89" s="1060">
        <v>1.7500000000000002E-2</v>
      </c>
      <c r="O89" s="3096"/>
      <c r="P89" s="1081">
        <v>575139400</v>
      </c>
      <c r="Q89" s="1081">
        <v>575139400</v>
      </c>
      <c r="R89" s="1081">
        <v>88192000</v>
      </c>
      <c r="S89" s="1081">
        <v>60374000</v>
      </c>
      <c r="T89" s="1212">
        <f t="shared" si="30"/>
        <v>0.1533402163023434</v>
      </c>
      <c r="U89" s="1212">
        <f t="shared" si="30"/>
        <v>0.68457456458635702</v>
      </c>
      <c r="V89" s="1184">
        <v>45382</v>
      </c>
      <c r="W89" s="1184">
        <v>45626</v>
      </c>
      <c r="X89" s="1189" t="s">
        <v>1513</v>
      </c>
      <c r="Y89" s="3093"/>
    </row>
    <row r="90" spans="1:25" s="46" customFormat="1">
      <c r="A90" s="1216"/>
      <c r="B90" s="1216">
        <v>52040010004</v>
      </c>
      <c r="C90" s="1216" t="s">
        <v>117</v>
      </c>
      <c r="D90" s="1175" t="s">
        <v>1514</v>
      </c>
      <c r="E90" s="1230"/>
      <c r="F90" s="1229"/>
      <c r="G90" s="1205"/>
      <c r="H90" s="1205"/>
      <c r="I90" s="1205"/>
      <c r="J90" s="1205"/>
      <c r="K90" s="1205"/>
      <c r="L90" s="1247"/>
      <c r="M90" s="1024"/>
      <c r="N90" s="1249"/>
      <c r="O90" s="1253"/>
      <c r="P90" s="1258"/>
      <c r="Q90" s="1258"/>
      <c r="R90" s="1258"/>
      <c r="S90" s="1258"/>
      <c r="T90" s="1249"/>
      <c r="U90" s="1249"/>
      <c r="V90" s="1250"/>
      <c r="W90" s="1250"/>
      <c r="X90" s="1260"/>
      <c r="Y90" s="1205"/>
    </row>
    <row r="91" spans="1:25">
      <c r="A91" s="3092">
        <v>4143</v>
      </c>
      <c r="B91" s="1173"/>
      <c r="C91" s="3092" t="s">
        <v>123</v>
      </c>
      <c r="D91" s="3095" t="s">
        <v>1515</v>
      </c>
      <c r="E91" s="1190" t="s">
        <v>1682</v>
      </c>
      <c r="F91" s="1192"/>
      <c r="G91" s="1192"/>
      <c r="H91" s="1192"/>
      <c r="I91" s="1192"/>
      <c r="J91" s="1192"/>
      <c r="K91" s="1192"/>
      <c r="L91" s="1209">
        <f>SUM(L92:L93)</f>
        <v>1</v>
      </c>
      <c r="M91" s="880"/>
      <c r="N91" s="1060">
        <f>SUM(N92:N93)</f>
        <v>0.23020787999999998</v>
      </c>
      <c r="O91" s="3073">
        <f>IF(Q91=0,"na",N91)</f>
        <v>0.23020787999999998</v>
      </c>
      <c r="P91" s="853">
        <f t="shared" ref="P91:S91" si="37">SUM(P92:P93)</f>
        <v>30360000000</v>
      </c>
      <c r="Q91" s="853">
        <f t="shared" si="37"/>
        <v>30360000000</v>
      </c>
      <c r="R91" s="853">
        <f t="shared" si="37"/>
        <v>15378510730</v>
      </c>
      <c r="S91" s="853">
        <f t="shared" si="37"/>
        <v>5798415729</v>
      </c>
      <c r="T91" s="1060">
        <f t="shared" ref="T91:U92" si="38">IF(Q91=0,0,R91/Q91)</f>
        <v>0.50653856159420285</v>
      </c>
      <c r="U91" s="1060">
        <f t="shared" si="38"/>
        <v>0.37704663545141603</v>
      </c>
      <c r="V91" s="1180"/>
      <c r="W91" s="1180"/>
      <c r="X91" s="1189"/>
      <c r="Y91" s="3099" t="s">
        <v>1379</v>
      </c>
    </row>
    <row r="92" spans="1:25" ht="52.8">
      <c r="A92" s="3093"/>
      <c r="B92" s="1173"/>
      <c r="C92" s="3093"/>
      <c r="D92" s="3093"/>
      <c r="E92" s="1156" t="s">
        <v>1516</v>
      </c>
      <c r="F92" s="1192"/>
      <c r="G92" s="1193" t="s">
        <v>1514</v>
      </c>
      <c r="H92" s="1156"/>
      <c r="I92" s="1193" t="s">
        <v>1517</v>
      </c>
      <c r="J92" s="1193" t="s">
        <v>1518</v>
      </c>
      <c r="K92" s="1218">
        <v>22777</v>
      </c>
      <c r="L92" s="1210">
        <v>0.98</v>
      </c>
      <c r="M92" s="880">
        <v>22474</v>
      </c>
      <c r="N92" s="1030">
        <v>0.23020787999999998</v>
      </c>
      <c r="O92" s="3096"/>
      <c r="P92" s="1081">
        <v>29921755176</v>
      </c>
      <c r="Q92" s="1081">
        <v>29921755176</v>
      </c>
      <c r="R92" s="1081">
        <v>15378510730</v>
      </c>
      <c r="S92" s="1081">
        <v>5798415729</v>
      </c>
      <c r="T92" s="1212">
        <f t="shared" si="38"/>
        <v>0.51395750815897923</v>
      </c>
      <c r="U92" s="1212">
        <f t="shared" si="38"/>
        <v>0.37704663545141603</v>
      </c>
      <c r="V92" s="1180">
        <v>45320</v>
      </c>
      <c r="W92" s="1180">
        <v>45408</v>
      </c>
      <c r="X92" s="1183" t="s">
        <v>1519</v>
      </c>
      <c r="Y92" s="3093"/>
    </row>
    <row r="93" spans="1:25" ht="52.8">
      <c r="A93" s="3093"/>
      <c r="B93" s="1173"/>
      <c r="C93" s="3093"/>
      <c r="D93" s="3093"/>
      <c r="E93" s="1156" t="s">
        <v>1520</v>
      </c>
      <c r="F93" s="1192"/>
      <c r="G93" s="1192"/>
      <c r="H93" s="1192"/>
      <c r="I93" s="1193" t="s">
        <v>1521</v>
      </c>
      <c r="J93" s="1193" t="s">
        <v>1522</v>
      </c>
      <c r="K93" s="1218">
        <v>67</v>
      </c>
      <c r="L93" s="1210">
        <v>0.02</v>
      </c>
      <c r="M93" s="880">
        <v>0</v>
      </c>
      <c r="N93" s="1060">
        <v>0</v>
      </c>
      <c r="O93" s="3096"/>
      <c r="P93" s="1081">
        <v>438244824</v>
      </c>
      <c r="Q93" s="1081">
        <v>438244824</v>
      </c>
      <c r="R93" s="1081">
        <v>0</v>
      </c>
      <c r="S93" s="1081">
        <v>0</v>
      </c>
      <c r="T93" s="1060"/>
      <c r="U93" s="1060"/>
      <c r="V93" s="1180"/>
      <c r="W93" s="1180"/>
      <c r="X93" s="1183"/>
      <c r="Y93" s="3093"/>
    </row>
    <row r="94" spans="1:25" s="46" customFormat="1">
      <c r="A94" s="1216"/>
      <c r="B94" s="1216">
        <v>52040010005</v>
      </c>
      <c r="C94" s="1216" t="s">
        <v>117</v>
      </c>
      <c r="D94" s="1175" t="s">
        <v>1523</v>
      </c>
      <c r="E94" s="1205"/>
      <c r="F94" s="1216"/>
      <c r="G94" s="1205"/>
      <c r="H94" s="1216"/>
      <c r="I94" s="1205"/>
      <c r="J94" s="1205"/>
      <c r="K94" s="1205"/>
      <c r="L94" s="1247"/>
      <c r="M94" s="1024"/>
      <c r="N94" s="1249"/>
      <c r="O94" s="1253"/>
      <c r="P94" s="1023"/>
      <c r="Q94" s="1023"/>
      <c r="R94" s="1023"/>
      <c r="S94" s="1023"/>
      <c r="T94" s="1249"/>
      <c r="U94" s="1249"/>
      <c r="V94" s="1250"/>
      <c r="W94" s="1250"/>
      <c r="X94" s="1259"/>
      <c r="Y94" s="1205"/>
    </row>
    <row r="95" spans="1:25">
      <c r="A95" s="3098">
        <v>4143</v>
      </c>
      <c r="B95" s="1173"/>
      <c r="C95" s="3098" t="s">
        <v>123</v>
      </c>
      <c r="D95" s="3095" t="s">
        <v>1524</v>
      </c>
      <c r="E95" s="879" t="s">
        <v>1525</v>
      </c>
      <c r="F95" s="1192"/>
      <c r="G95" s="880"/>
      <c r="H95" s="880"/>
      <c r="I95" s="880"/>
      <c r="J95" s="880"/>
      <c r="K95" s="880"/>
      <c r="L95" s="1209">
        <f>L96</f>
        <v>1</v>
      </c>
      <c r="M95" s="880"/>
      <c r="N95" s="1060">
        <f>SUM(N96)</f>
        <v>0</v>
      </c>
      <c r="O95" s="3073">
        <f>IF(Q95=0,"na",N95)</f>
        <v>0</v>
      </c>
      <c r="P95" s="853">
        <f t="shared" ref="P95:S95" si="39">SUM(P96)</f>
        <v>1000000000</v>
      </c>
      <c r="Q95" s="853">
        <f t="shared" si="39"/>
        <v>1000000000</v>
      </c>
      <c r="R95" s="853">
        <f t="shared" si="39"/>
        <v>0</v>
      </c>
      <c r="S95" s="853">
        <f t="shared" si="39"/>
        <v>0</v>
      </c>
      <c r="T95" s="1060">
        <f t="shared" ref="T95:U110" si="40">IF(Q95=0,0,R95/Q95)</f>
        <v>0</v>
      </c>
      <c r="U95" s="1060">
        <f t="shared" si="40"/>
        <v>0</v>
      </c>
      <c r="V95" s="1180"/>
      <c r="W95" s="1180"/>
      <c r="X95" s="1183"/>
      <c r="Y95" s="3099" t="s">
        <v>1470</v>
      </c>
    </row>
    <row r="96" spans="1:25" ht="52.8">
      <c r="A96" s="3093"/>
      <c r="B96" s="1173"/>
      <c r="C96" s="3093"/>
      <c r="D96" s="3093"/>
      <c r="E96" s="879" t="s">
        <v>1526</v>
      </c>
      <c r="F96" s="1192"/>
      <c r="G96" s="857" t="s">
        <v>1527</v>
      </c>
      <c r="H96" s="879"/>
      <c r="I96" s="857" t="s">
        <v>1528</v>
      </c>
      <c r="J96" s="857" t="s">
        <v>1529</v>
      </c>
      <c r="K96" s="1218">
        <v>5</v>
      </c>
      <c r="L96" s="1210">
        <v>1</v>
      </c>
      <c r="M96" s="880">
        <v>0</v>
      </c>
      <c r="N96" s="1060">
        <v>0</v>
      </c>
      <c r="O96" s="3096"/>
      <c r="P96" s="1081">
        <v>1000000000</v>
      </c>
      <c r="Q96" s="1081">
        <v>1000000000</v>
      </c>
      <c r="R96" s="1081">
        <v>0</v>
      </c>
      <c r="S96" s="1081">
        <v>0</v>
      </c>
      <c r="T96" s="1212">
        <f t="shared" si="40"/>
        <v>0</v>
      </c>
      <c r="U96" s="1212">
        <f t="shared" si="40"/>
        <v>0</v>
      </c>
      <c r="V96" s="1180"/>
      <c r="W96" s="1180"/>
      <c r="X96" s="1183"/>
      <c r="Y96" s="3093"/>
    </row>
    <row r="97" spans="1:25">
      <c r="A97" s="3098">
        <v>4143</v>
      </c>
      <c r="B97" s="1173"/>
      <c r="C97" s="3098" t="s">
        <v>123</v>
      </c>
      <c r="D97" s="3095" t="s">
        <v>1530</v>
      </c>
      <c r="E97" s="879" t="s">
        <v>1683</v>
      </c>
      <c r="F97" s="1192"/>
      <c r="G97" s="1192"/>
      <c r="H97" s="1192"/>
      <c r="I97" s="1192"/>
      <c r="J97" s="1192"/>
      <c r="K97" s="1192"/>
      <c r="L97" s="1209">
        <f>SUM(L98)</f>
        <v>1</v>
      </c>
      <c r="M97" s="880"/>
      <c r="N97" s="1060">
        <f>SUM(N98)</f>
        <v>0</v>
      </c>
      <c r="O97" s="3073">
        <f>IF(Q97=0,"na",N97)</f>
        <v>0</v>
      </c>
      <c r="P97" s="853">
        <f t="shared" ref="P97:S97" si="41">SUM(P98)</f>
        <v>579549600</v>
      </c>
      <c r="Q97" s="853">
        <f t="shared" si="41"/>
        <v>579549600</v>
      </c>
      <c r="R97" s="853">
        <f t="shared" si="41"/>
        <v>0</v>
      </c>
      <c r="S97" s="853">
        <f t="shared" si="41"/>
        <v>0</v>
      </c>
      <c r="T97" s="1060">
        <f t="shared" si="40"/>
        <v>0</v>
      </c>
      <c r="U97" s="1060">
        <f t="shared" si="40"/>
        <v>0</v>
      </c>
      <c r="V97" s="1180"/>
      <c r="W97" s="1180"/>
      <c r="X97" s="1183"/>
      <c r="Y97" s="3099" t="s">
        <v>1470</v>
      </c>
    </row>
    <row r="98" spans="1:25" ht="79.2">
      <c r="A98" s="3093"/>
      <c r="B98" s="1173"/>
      <c r="C98" s="3093"/>
      <c r="D98" s="3093"/>
      <c r="E98" s="879" t="s">
        <v>1531</v>
      </c>
      <c r="F98" s="1192"/>
      <c r="G98" s="1193" t="s">
        <v>1527</v>
      </c>
      <c r="H98" s="1156"/>
      <c r="I98" s="1193" t="s">
        <v>1532</v>
      </c>
      <c r="J98" s="1193" t="s">
        <v>1533</v>
      </c>
      <c r="K98" s="1218">
        <v>7</v>
      </c>
      <c r="L98" s="1210">
        <v>1</v>
      </c>
      <c r="M98" s="880">
        <v>0</v>
      </c>
      <c r="N98" s="1060">
        <v>0</v>
      </c>
      <c r="O98" s="3096"/>
      <c r="P98" s="1081">
        <v>579549600</v>
      </c>
      <c r="Q98" s="1081">
        <v>579549600</v>
      </c>
      <c r="R98" s="1081">
        <v>0</v>
      </c>
      <c r="S98" s="1081">
        <v>0</v>
      </c>
      <c r="T98" s="1212">
        <f t="shared" si="40"/>
        <v>0</v>
      </c>
      <c r="U98" s="1212">
        <f t="shared" si="40"/>
        <v>0</v>
      </c>
      <c r="V98" s="1180"/>
      <c r="W98" s="1180"/>
      <c r="X98" s="1183"/>
      <c r="Y98" s="3093"/>
    </row>
    <row r="99" spans="1:25">
      <c r="A99" s="3098">
        <v>4143</v>
      </c>
      <c r="B99" s="1173"/>
      <c r="C99" s="3098" t="s">
        <v>123</v>
      </c>
      <c r="D99" s="3095" t="s">
        <v>1534</v>
      </c>
      <c r="E99" s="879" t="s">
        <v>1684</v>
      </c>
      <c r="F99" s="1192"/>
      <c r="G99" s="1192"/>
      <c r="H99" s="1192"/>
      <c r="I99" s="1192"/>
      <c r="J99" s="1192"/>
      <c r="K99" s="1192"/>
      <c r="L99" s="1209">
        <f>SUM(L100)</f>
        <v>1</v>
      </c>
      <c r="M99" s="880"/>
      <c r="N99" s="1060">
        <f>SUM(N100)</f>
        <v>0</v>
      </c>
      <c r="O99" s="3073">
        <f>IF(Q99=0,"na",N99)</f>
        <v>0</v>
      </c>
      <c r="P99" s="853">
        <f t="shared" ref="P99:S99" si="42">SUM(P100)</f>
        <v>582409827</v>
      </c>
      <c r="Q99" s="853">
        <f t="shared" si="42"/>
        <v>582409827</v>
      </c>
      <c r="R99" s="853">
        <f t="shared" si="42"/>
        <v>0</v>
      </c>
      <c r="S99" s="853">
        <f t="shared" si="42"/>
        <v>0</v>
      </c>
      <c r="T99" s="1060">
        <f t="shared" si="40"/>
        <v>0</v>
      </c>
      <c r="U99" s="1060">
        <f t="shared" si="40"/>
        <v>0</v>
      </c>
      <c r="V99" s="1180"/>
      <c r="W99" s="1180"/>
      <c r="X99" s="1183"/>
      <c r="Y99" s="3099" t="s">
        <v>1470</v>
      </c>
    </row>
    <row r="100" spans="1:25" ht="79.2">
      <c r="A100" s="3093"/>
      <c r="B100" s="1173"/>
      <c r="C100" s="3093"/>
      <c r="D100" s="3093"/>
      <c r="E100" s="879" t="s">
        <v>1535</v>
      </c>
      <c r="F100" s="1217"/>
      <c r="G100" s="1193" t="s">
        <v>1527</v>
      </c>
      <c r="H100" s="1156"/>
      <c r="I100" s="1193" t="s">
        <v>1536</v>
      </c>
      <c r="J100" s="1193" t="s">
        <v>1537</v>
      </c>
      <c r="K100" s="1218">
        <v>3</v>
      </c>
      <c r="L100" s="1210">
        <v>1</v>
      </c>
      <c r="M100" s="880">
        <v>0</v>
      </c>
      <c r="N100" s="1060">
        <v>0</v>
      </c>
      <c r="O100" s="3096"/>
      <c r="P100" s="1081">
        <v>582409827</v>
      </c>
      <c r="Q100" s="1081">
        <v>582409827</v>
      </c>
      <c r="R100" s="1081">
        <v>0</v>
      </c>
      <c r="S100" s="1081">
        <v>0</v>
      </c>
      <c r="T100" s="1212">
        <f t="shared" si="40"/>
        <v>0</v>
      </c>
      <c r="U100" s="1212">
        <f t="shared" si="40"/>
        <v>0</v>
      </c>
      <c r="V100" s="1184"/>
      <c r="W100" s="1184"/>
      <c r="X100" s="1187"/>
      <c r="Y100" s="3093"/>
    </row>
    <row r="101" spans="1:25">
      <c r="A101" s="3098">
        <v>4143</v>
      </c>
      <c r="B101" s="1173"/>
      <c r="C101" s="3098" t="s">
        <v>123</v>
      </c>
      <c r="D101" s="3095" t="s">
        <v>1538</v>
      </c>
      <c r="E101" s="879" t="s">
        <v>1685</v>
      </c>
      <c r="F101" s="1217"/>
      <c r="G101" s="1192"/>
      <c r="H101" s="1192"/>
      <c r="I101" s="1192"/>
      <c r="J101" s="1192"/>
      <c r="K101" s="1192"/>
      <c r="L101" s="1209">
        <f>SUM(L102)</f>
        <v>1</v>
      </c>
      <c r="M101" s="880"/>
      <c r="N101" s="1060">
        <f>SUM(N102)</f>
        <v>0</v>
      </c>
      <c r="O101" s="3073">
        <f>IF(Q101=0,"na",N101)</f>
        <v>0</v>
      </c>
      <c r="P101" s="853">
        <f t="shared" ref="P101:S101" si="43">SUM(P102)</f>
        <v>432960240</v>
      </c>
      <c r="Q101" s="853">
        <f t="shared" si="43"/>
        <v>432960240</v>
      </c>
      <c r="R101" s="853">
        <f t="shared" si="43"/>
        <v>0</v>
      </c>
      <c r="S101" s="853">
        <f t="shared" si="43"/>
        <v>0</v>
      </c>
      <c r="T101" s="1060">
        <f t="shared" si="40"/>
        <v>0</v>
      </c>
      <c r="U101" s="1060">
        <f t="shared" si="40"/>
        <v>0</v>
      </c>
      <c r="V101" s="1180"/>
      <c r="W101" s="1180"/>
      <c r="X101" s="1183"/>
      <c r="Y101" s="3099" t="s">
        <v>1470</v>
      </c>
    </row>
    <row r="102" spans="1:25" ht="92.4">
      <c r="A102" s="3093"/>
      <c r="B102" s="1173"/>
      <c r="C102" s="3093"/>
      <c r="D102" s="3093"/>
      <c r="E102" s="879" t="s">
        <v>1539</v>
      </c>
      <c r="F102" s="1217"/>
      <c r="G102" s="1193" t="s">
        <v>1527</v>
      </c>
      <c r="H102" s="1156"/>
      <c r="I102" s="1193" t="s">
        <v>1540</v>
      </c>
      <c r="J102" s="1193" t="s">
        <v>1529</v>
      </c>
      <c r="K102" s="1218">
        <v>2</v>
      </c>
      <c r="L102" s="1210">
        <v>1</v>
      </c>
      <c r="M102" s="880">
        <v>0</v>
      </c>
      <c r="N102" s="1060">
        <v>0</v>
      </c>
      <c r="O102" s="3096"/>
      <c r="P102" s="1081">
        <v>432960240</v>
      </c>
      <c r="Q102" s="1081">
        <v>432960240</v>
      </c>
      <c r="R102" s="1081">
        <v>0</v>
      </c>
      <c r="S102" s="1081">
        <v>0</v>
      </c>
      <c r="T102" s="1212">
        <f t="shared" si="40"/>
        <v>0</v>
      </c>
      <c r="U102" s="1212">
        <f t="shared" si="40"/>
        <v>0</v>
      </c>
      <c r="V102" s="1180"/>
      <c r="W102" s="1180"/>
      <c r="X102" s="1189"/>
      <c r="Y102" s="3093"/>
    </row>
    <row r="103" spans="1:25">
      <c r="A103" s="3098">
        <v>4143</v>
      </c>
      <c r="B103" s="1173"/>
      <c r="C103" s="3098" t="s">
        <v>123</v>
      </c>
      <c r="D103" s="3095" t="s">
        <v>1541</v>
      </c>
      <c r="E103" s="879" t="s">
        <v>1686</v>
      </c>
      <c r="F103" s="1217"/>
      <c r="G103" s="1192"/>
      <c r="H103" s="1217"/>
      <c r="I103" s="1192"/>
      <c r="J103" s="1192"/>
      <c r="K103" s="1192"/>
      <c r="L103" s="1209">
        <f>L104</f>
        <v>1</v>
      </c>
      <c r="M103" s="1030"/>
      <c r="N103" s="1060">
        <f>SUM(N104)</f>
        <v>0</v>
      </c>
      <c r="O103" s="3073">
        <f>IF(Q103=0,"na",N103)</f>
        <v>0</v>
      </c>
      <c r="P103" s="853">
        <f t="shared" ref="P103:S103" si="44">SUM(P104)</f>
        <v>246983755</v>
      </c>
      <c r="Q103" s="853">
        <f t="shared" si="44"/>
        <v>246983755</v>
      </c>
      <c r="R103" s="853">
        <f t="shared" si="44"/>
        <v>0</v>
      </c>
      <c r="S103" s="853">
        <f t="shared" si="44"/>
        <v>0</v>
      </c>
      <c r="T103" s="1060">
        <f t="shared" si="40"/>
        <v>0</v>
      </c>
      <c r="U103" s="1060">
        <f t="shared" si="40"/>
        <v>0</v>
      </c>
      <c r="V103" s="1180"/>
      <c r="W103" s="1180"/>
      <c r="X103" s="1231"/>
      <c r="Y103" s="3099" t="s">
        <v>1470</v>
      </c>
    </row>
    <row r="104" spans="1:25" ht="92.4">
      <c r="A104" s="3093"/>
      <c r="B104" s="1173"/>
      <c r="C104" s="3093"/>
      <c r="D104" s="3093"/>
      <c r="E104" s="879" t="s">
        <v>1542</v>
      </c>
      <c r="F104" s="1192"/>
      <c r="G104" s="1193" t="s">
        <v>1527</v>
      </c>
      <c r="H104" s="1219"/>
      <c r="I104" s="1193" t="s">
        <v>1543</v>
      </c>
      <c r="J104" s="1193" t="s">
        <v>1529</v>
      </c>
      <c r="K104" s="1218">
        <v>2</v>
      </c>
      <c r="L104" s="1210">
        <v>1</v>
      </c>
      <c r="M104" s="880">
        <v>0</v>
      </c>
      <c r="N104" s="1060">
        <v>0</v>
      </c>
      <c r="O104" s="3096"/>
      <c r="P104" s="1081">
        <v>246983755</v>
      </c>
      <c r="Q104" s="1081">
        <v>246983755</v>
      </c>
      <c r="R104" s="1081">
        <v>0</v>
      </c>
      <c r="S104" s="1081">
        <v>0</v>
      </c>
      <c r="T104" s="1212">
        <f t="shared" si="40"/>
        <v>0</v>
      </c>
      <c r="U104" s="1212">
        <f t="shared" si="40"/>
        <v>0</v>
      </c>
      <c r="V104" s="1180"/>
      <c r="W104" s="1180"/>
      <c r="X104" s="1183"/>
      <c r="Y104" s="3093"/>
    </row>
    <row r="105" spans="1:25">
      <c r="A105" s="3098">
        <v>4143</v>
      </c>
      <c r="B105" s="1173"/>
      <c r="C105" s="3098" t="s">
        <v>123</v>
      </c>
      <c r="D105" s="3095" t="s">
        <v>1544</v>
      </c>
      <c r="E105" s="879" t="s">
        <v>1687</v>
      </c>
      <c r="F105" s="1192"/>
      <c r="G105" s="1192"/>
      <c r="H105" s="1217"/>
      <c r="I105" s="1192"/>
      <c r="J105" s="1192"/>
      <c r="K105" s="1192"/>
      <c r="L105" s="1209">
        <f>L106</f>
        <v>1</v>
      </c>
      <c r="M105" s="880"/>
      <c r="N105" s="1060">
        <f>SUM(N106)</f>
        <v>0</v>
      </c>
      <c r="O105" s="3073">
        <f>IF(Q105=0,"na",N105)</f>
        <v>0</v>
      </c>
      <c r="P105" s="853">
        <f t="shared" ref="P105:S105" si="45">SUM(P106)</f>
        <v>858450473</v>
      </c>
      <c r="Q105" s="853">
        <f t="shared" si="45"/>
        <v>858450473</v>
      </c>
      <c r="R105" s="853">
        <f t="shared" si="45"/>
        <v>0</v>
      </c>
      <c r="S105" s="853">
        <f t="shared" si="45"/>
        <v>0</v>
      </c>
      <c r="T105" s="1060">
        <f t="shared" si="40"/>
        <v>0</v>
      </c>
      <c r="U105" s="1060">
        <f t="shared" si="40"/>
        <v>0</v>
      </c>
      <c r="V105" s="1180"/>
      <c r="W105" s="1180"/>
      <c r="X105" s="1183"/>
      <c r="Y105" s="3099" t="s">
        <v>1470</v>
      </c>
    </row>
    <row r="106" spans="1:25" ht="79.2">
      <c r="A106" s="3093"/>
      <c r="B106" s="1173"/>
      <c r="C106" s="3093"/>
      <c r="D106" s="3093"/>
      <c r="E106" s="879" t="s">
        <v>1545</v>
      </c>
      <c r="F106" s="1192"/>
      <c r="G106" s="1193" t="s">
        <v>1527</v>
      </c>
      <c r="H106" s="1156"/>
      <c r="I106" s="1193" t="s">
        <v>1546</v>
      </c>
      <c r="J106" s="1193" t="s">
        <v>1529</v>
      </c>
      <c r="K106" s="1218">
        <v>3</v>
      </c>
      <c r="L106" s="1210">
        <v>1</v>
      </c>
      <c r="M106" s="880">
        <v>0</v>
      </c>
      <c r="N106" s="1060">
        <v>0</v>
      </c>
      <c r="O106" s="3096"/>
      <c r="P106" s="1081">
        <v>858450473</v>
      </c>
      <c r="Q106" s="1081">
        <v>858450473</v>
      </c>
      <c r="R106" s="1081">
        <v>0</v>
      </c>
      <c r="S106" s="1081">
        <v>0</v>
      </c>
      <c r="T106" s="1212">
        <f t="shared" si="40"/>
        <v>0</v>
      </c>
      <c r="U106" s="1212">
        <f t="shared" si="40"/>
        <v>0</v>
      </c>
      <c r="V106" s="1180"/>
      <c r="W106" s="1180"/>
      <c r="X106" s="1183"/>
      <c r="Y106" s="3093"/>
    </row>
    <row r="107" spans="1:25">
      <c r="A107" s="3098">
        <v>4143</v>
      </c>
      <c r="B107" s="1173"/>
      <c r="C107" s="3098" t="s">
        <v>123</v>
      </c>
      <c r="D107" s="3095" t="s">
        <v>1547</v>
      </c>
      <c r="E107" s="879" t="s">
        <v>1688</v>
      </c>
      <c r="F107" s="1192"/>
      <c r="G107" s="1192"/>
      <c r="H107" s="1192"/>
      <c r="I107" s="1192"/>
      <c r="J107" s="1192"/>
      <c r="K107" s="1192"/>
      <c r="L107" s="1209">
        <f>L108</f>
        <v>1</v>
      </c>
      <c r="M107" s="880"/>
      <c r="N107" s="1060">
        <f>SUM(N108)</f>
        <v>0</v>
      </c>
      <c r="O107" s="3073">
        <f>IF(Q107=0,"na",N107)</f>
        <v>0</v>
      </c>
      <c r="P107" s="853">
        <f t="shared" ref="P107:S107" si="46">SUM(P108)</f>
        <v>536874626</v>
      </c>
      <c r="Q107" s="853">
        <f t="shared" si="46"/>
        <v>536874626</v>
      </c>
      <c r="R107" s="853">
        <f t="shared" si="46"/>
        <v>0</v>
      </c>
      <c r="S107" s="853">
        <f t="shared" si="46"/>
        <v>0</v>
      </c>
      <c r="T107" s="1060">
        <f t="shared" si="40"/>
        <v>0</v>
      </c>
      <c r="U107" s="1060">
        <f t="shared" si="40"/>
        <v>0</v>
      </c>
      <c r="V107" s="1180"/>
      <c r="W107" s="1180"/>
      <c r="X107" s="1183"/>
      <c r="Y107" s="3099" t="s">
        <v>1470</v>
      </c>
    </row>
    <row r="108" spans="1:25" ht="66">
      <c r="A108" s="3093"/>
      <c r="B108" s="1173"/>
      <c r="C108" s="3093"/>
      <c r="D108" s="3093"/>
      <c r="E108" s="879" t="s">
        <v>1548</v>
      </c>
      <c r="F108" s="1192"/>
      <c r="G108" s="1193" t="s">
        <v>1527</v>
      </c>
      <c r="H108" s="1156"/>
      <c r="I108" s="1193" t="s">
        <v>1549</v>
      </c>
      <c r="J108" s="1193" t="s">
        <v>1529</v>
      </c>
      <c r="K108" s="1218">
        <v>5</v>
      </c>
      <c r="L108" s="1210">
        <v>1</v>
      </c>
      <c r="M108" s="1232">
        <v>0</v>
      </c>
      <c r="N108" s="1060">
        <v>0</v>
      </c>
      <c r="O108" s="3096"/>
      <c r="P108" s="1081">
        <v>536874626</v>
      </c>
      <c r="Q108" s="1081">
        <v>536874626</v>
      </c>
      <c r="R108" s="1081">
        <v>0</v>
      </c>
      <c r="S108" s="1081">
        <v>0</v>
      </c>
      <c r="T108" s="1212">
        <f t="shared" si="40"/>
        <v>0</v>
      </c>
      <c r="U108" s="1212">
        <f t="shared" si="40"/>
        <v>0</v>
      </c>
      <c r="V108" s="1180"/>
      <c r="W108" s="1180"/>
      <c r="X108" s="1183"/>
      <c r="Y108" s="3093"/>
    </row>
    <row r="109" spans="1:25">
      <c r="A109" s="3098">
        <v>4143</v>
      </c>
      <c r="B109" s="1173"/>
      <c r="C109" s="3098" t="s">
        <v>123</v>
      </c>
      <c r="D109" s="3095" t="s">
        <v>1550</v>
      </c>
      <c r="E109" s="879" t="s">
        <v>1689</v>
      </c>
      <c r="F109" s="1192"/>
      <c r="G109" s="1192"/>
      <c r="H109" s="1217"/>
      <c r="I109" s="1192"/>
      <c r="J109" s="1192"/>
      <c r="K109" s="1192"/>
      <c r="L109" s="1209">
        <f>L110</f>
        <v>1</v>
      </c>
      <c r="M109" s="880"/>
      <c r="N109" s="1060">
        <f>SUM(N110)</f>
        <v>0</v>
      </c>
      <c r="O109" s="3073">
        <f>IF(Q109=0,"na",N109)</f>
        <v>0</v>
      </c>
      <c r="P109" s="853">
        <f t="shared" ref="P109:S109" si="47">SUM(P110)</f>
        <v>105500800</v>
      </c>
      <c r="Q109" s="853">
        <f t="shared" si="47"/>
        <v>105500800</v>
      </c>
      <c r="R109" s="853">
        <f t="shared" si="47"/>
        <v>0</v>
      </c>
      <c r="S109" s="853">
        <f t="shared" si="47"/>
        <v>0</v>
      </c>
      <c r="T109" s="1060">
        <f t="shared" si="40"/>
        <v>0</v>
      </c>
      <c r="U109" s="1060">
        <f t="shared" si="40"/>
        <v>0</v>
      </c>
      <c r="V109" s="1180"/>
      <c r="W109" s="1180"/>
      <c r="X109" s="1191"/>
      <c r="Y109" s="3099" t="s">
        <v>1470</v>
      </c>
    </row>
    <row r="110" spans="1:25" ht="52.8">
      <c r="A110" s="3093"/>
      <c r="B110" s="1173"/>
      <c r="C110" s="3093"/>
      <c r="D110" s="3093"/>
      <c r="E110" s="879" t="s">
        <v>1551</v>
      </c>
      <c r="F110" s="1192"/>
      <c r="G110" s="1193" t="s">
        <v>1527</v>
      </c>
      <c r="H110" s="1219"/>
      <c r="I110" s="1193" t="s">
        <v>1552</v>
      </c>
      <c r="J110" s="1193" t="s">
        <v>1553</v>
      </c>
      <c r="K110" s="1218">
        <v>4</v>
      </c>
      <c r="L110" s="1210">
        <v>1</v>
      </c>
      <c r="M110" s="880">
        <v>0</v>
      </c>
      <c r="N110" s="1060">
        <v>0</v>
      </c>
      <c r="O110" s="3096"/>
      <c r="P110" s="1081">
        <v>105500800</v>
      </c>
      <c r="Q110" s="1081">
        <v>105500800</v>
      </c>
      <c r="R110" s="1081">
        <v>0</v>
      </c>
      <c r="S110" s="1081">
        <v>0</v>
      </c>
      <c r="T110" s="1212">
        <f t="shared" si="40"/>
        <v>0</v>
      </c>
      <c r="U110" s="1212">
        <f t="shared" si="40"/>
        <v>0</v>
      </c>
      <c r="V110" s="1180"/>
      <c r="W110" s="1180"/>
      <c r="X110" s="1183"/>
      <c r="Y110" s="3093"/>
    </row>
    <row r="111" spans="1:25" s="46" customFormat="1">
      <c r="A111" s="1216"/>
      <c r="B111" s="1216">
        <v>52040010006</v>
      </c>
      <c r="C111" s="1216" t="s">
        <v>117</v>
      </c>
      <c r="D111" s="1175" t="s">
        <v>1554</v>
      </c>
      <c r="E111" s="1024"/>
      <c r="F111" s="1221"/>
      <c r="G111" s="1205"/>
      <c r="H111" s="1205"/>
      <c r="I111" s="1205"/>
      <c r="J111" s="1205"/>
      <c r="K111" s="1205"/>
      <c r="L111" s="1247"/>
      <c r="M111" s="1024"/>
      <c r="N111" s="1249"/>
      <c r="O111" s="1253"/>
      <c r="P111" s="1258"/>
      <c r="Q111" s="1258"/>
      <c r="R111" s="1258"/>
      <c r="S111" s="1258"/>
      <c r="T111" s="1249"/>
      <c r="U111" s="1249"/>
      <c r="V111" s="1250"/>
      <c r="W111" s="1250"/>
      <c r="X111" s="1259"/>
      <c r="Y111" s="1205"/>
    </row>
    <row r="112" spans="1:25">
      <c r="A112" s="3092">
        <v>4143</v>
      </c>
      <c r="B112" s="1173"/>
      <c r="C112" s="3092" t="s">
        <v>123</v>
      </c>
      <c r="D112" s="3095" t="s">
        <v>1555</v>
      </c>
      <c r="E112" s="879" t="s">
        <v>1690</v>
      </c>
      <c r="F112" s="1192"/>
      <c r="G112" s="1192"/>
      <c r="H112" s="1192"/>
      <c r="I112" s="1192"/>
      <c r="J112" s="1192"/>
      <c r="K112" s="1192"/>
      <c r="L112" s="1233">
        <f>SUM(L113:L114)</f>
        <v>1</v>
      </c>
      <c r="M112" s="880"/>
      <c r="N112" s="1060">
        <f>SUM(N113:N114)</f>
        <v>0.27260000000000001</v>
      </c>
      <c r="O112" s="3073">
        <f>IF(Q112=0,"na",N112)</f>
        <v>0.27260000000000001</v>
      </c>
      <c r="P112" s="853">
        <f t="shared" ref="P112:S112" si="48">SUM(P113:P114)</f>
        <v>75699999999</v>
      </c>
      <c r="Q112" s="853">
        <f t="shared" si="48"/>
        <v>75699999999</v>
      </c>
      <c r="R112" s="853">
        <f t="shared" si="48"/>
        <v>29343207882</v>
      </c>
      <c r="S112" s="853">
        <f t="shared" si="48"/>
        <v>168595000</v>
      </c>
      <c r="T112" s="1060">
        <f t="shared" ref="T112:U114" si="49">IF(Q112=0,0,R112/Q112)</f>
        <v>0.38762493900115752</v>
      </c>
      <c r="U112" s="1060">
        <f t="shared" si="49"/>
        <v>5.7456226557772239E-3</v>
      </c>
      <c r="V112" s="1180"/>
      <c r="W112" s="1180"/>
      <c r="X112" s="1183"/>
      <c r="Y112" s="3099" t="s">
        <v>1379</v>
      </c>
    </row>
    <row r="113" spans="1:25" ht="105.6">
      <c r="A113" s="3093"/>
      <c r="B113" s="1173"/>
      <c r="C113" s="3093"/>
      <c r="D113" s="3093"/>
      <c r="E113" s="879" t="s">
        <v>1556</v>
      </c>
      <c r="F113" s="1192"/>
      <c r="G113" s="1193" t="s">
        <v>1557</v>
      </c>
      <c r="H113" s="1194"/>
      <c r="I113" s="1193" t="s">
        <v>1558</v>
      </c>
      <c r="J113" s="1193" t="s">
        <v>1559</v>
      </c>
      <c r="K113" s="1218">
        <v>22051710</v>
      </c>
      <c r="L113" s="1210">
        <v>0.8</v>
      </c>
      <c r="M113" s="1218">
        <v>6471541</v>
      </c>
      <c r="N113" s="1030">
        <v>0.22459999999999999</v>
      </c>
      <c r="O113" s="3096"/>
      <c r="P113" s="1081">
        <v>73032618975</v>
      </c>
      <c r="Q113" s="1081">
        <v>73032618975</v>
      </c>
      <c r="R113" s="1081">
        <v>28955939882</v>
      </c>
      <c r="S113" s="1081">
        <v>0</v>
      </c>
      <c r="T113" s="1212">
        <f t="shared" si="49"/>
        <v>0.39647954966413007</v>
      </c>
      <c r="U113" s="1212">
        <f t="shared" si="49"/>
        <v>0</v>
      </c>
      <c r="V113" s="1180">
        <v>45320</v>
      </c>
      <c r="W113" s="1180">
        <v>45634</v>
      </c>
      <c r="X113" s="1183" t="s">
        <v>1560</v>
      </c>
      <c r="Y113" s="3093"/>
    </row>
    <row r="114" spans="1:25" ht="52.8">
      <c r="A114" s="3093"/>
      <c r="B114" s="1173"/>
      <c r="C114" s="3093"/>
      <c r="D114" s="3093"/>
      <c r="E114" s="879" t="s">
        <v>1561</v>
      </c>
      <c r="F114" s="1192"/>
      <c r="G114" s="1192"/>
      <c r="H114" s="1192"/>
      <c r="I114" s="1193" t="s">
        <v>1562</v>
      </c>
      <c r="J114" s="1193" t="s">
        <v>1563</v>
      </c>
      <c r="K114" s="1218">
        <v>92</v>
      </c>
      <c r="L114" s="1210">
        <v>0.2</v>
      </c>
      <c r="M114" s="1218">
        <v>25</v>
      </c>
      <c r="N114" s="1060">
        <v>4.8000000000000001E-2</v>
      </c>
      <c r="O114" s="3096"/>
      <c r="P114" s="1081">
        <v>2667381024</v>
      </c>
      <c r="Q114" s="1081">
        <v>2667381024</v>
      </c>
      <c r="R114" s="1081">
        <v>387268000</v>
      </c>
      <c r="S114" s="1081">
        <v>168595000</v>
      </c>
      <c r="T114" s="1212">
        <f t="shared" si="49"/>
        <v>0.14518660683101567</v>
      </c>
      <c r="U114" s="1212">
        <f t="shared" si="49"/>
        <v>0.43534451594244811</v>
      </c>
      <c r="V114" s="1180">
        <v>45320</v>
      </c>
      <c r="W114" s="1180">
        <v>45634</v>
      </c>
      <c r="X114" s="1183" t="s">
        <v>1564</v>
      </c>
      <c r="Y114" s="3093"/>
    </row>
    <row r="115" spans="1:25">
      <c r="A115" s="1156"/>
      <c r="B115" s="1172">
        <v>5204002</v>
      </c>
      <c r="C115" s="1172" t="s">
        <v>116</v>
      </c>
      <c r="D115" s="1166" t="s">
        <v>1565</v>
      </c>
      <c r="E115" s="1192"/>
      <c r="F115" s="1192"/>
      <c r="G115" s="1192"/>
      <c r="H115" s="1192"/>
      <c r="I115" s="1192"/>
      <c r="J115" s="1192"/>
      <c r="K115" s="1192"/>
      <c r="L115" s="1209"/>
      <c r="M115" s="880"/>
      <c r="N115" s="1060"/>
      <c r="O115" s="1061"/>
      <c r="P115" s="1081"/>
      <c r="Q115" s="1081"/>
      <c r="R115" s="1081"/>
      <c r="S115" s="1081"/>
      <c r="T115" s="1060"/>
      <c r="U115" s="1060"/>
      <c r="V115" s="1180"/>
      <c r="W115" s="1180"/>
      <c r="X115" s="878"/>
      <c r="Y115" s="1173"/>
    </row>
    <row r="116" spans="1:25" s="46" customFormat="1" ht="41.4">
      <c r="A116" s="1216"/>
      <c r="B116" s="1074">
        <v>52040020002</v>
      </c>
      <c r="C116" s="1074" t="s">
        <v>117</v>
      </c>
      <c r="D116" s="845" t="s">
        <v>1566</v>
      </c>
      <c r="E116" s="1205"/>
      <c r="F116" s="1216"/>
      <c r="G116" s="1205"/>
      <c r="H116" s="1216"/>
      <c r="I116" s="1205"/>
      <c r="J116" s="1205"/>
      <c r="K116" s="1205"/>
      <c r="L116" s="1247"/>
      <c r="M116" s="1024"/>
      <c r="N116" s="1249"/>
      <c r="O116" s="1253"/>
      <c r="P116" s="1258"/>
      <c r="Q116" s="1258"/>
      <c r="R116" s="1258"/>
      <c r="S116" s="1258"/>
      <c r="T116" s="1249"/>
      <c r="U116" s="1249"/>
      <c r="V116" s="1250"/>
      <c r="W116" s="1250"/>
      <c r="X116" s="845"/>
      <c r="Y116" s="1205"/>
    </row>
    <row r="117" spans="1:25">
      <c r="A117" s="3092">
        <v>4143</v>
      </c>
      <c r="B117" s="1173"/>
      <c r="C117" s="3092" t="s">
        <v>123</v>
      </c>
      <c r="D117" s="3095" t="s">
        <v>1567</v>
      </c>
      <c r="E117" s="1156" t="s">
        <v>1691</v>
      </c>
      <c r="F117" s="1192"/>
      <c r="G117" s="1192"/>
      <c r="H117" s="1192"/>
      <c r="I117" s="1192"/>
      <c r="J117" s="1192"/>
      <c r="K117" s="1218">
        <f>K118</f>
        <v>213</v>
      </c>
      <c r="L117" s="1209">
        <f>SUM(L118)</f>
        <v>1</v>
      </c>
      <c r="M117" s="880"/>
      <c r="N117" s="1060">
        <f>SUM(N118)</f>
        <v>0</v>
      </c>
      <c r="O117" s="3073">
        <f>IF(Q117=0,"na",N117)</f>
        <v>0</v>
      </c>
      <c r="P117" s="853">
        <f t="shared" ref="P117:S117" si="50">SUM(P118)</f>
        <v>1000000000</v>
      </c>
      <c r="Q117" s="853">
        <f t="shared" si="50"/>
        <v>1000000000</v>
      </c>
      <c r="R117" s="853">
        <f t="shared" si="50"/>
        <v>0</v>
      </c>
      <c r="S117" s="853">
        <f t="shared" si="50"/>
        <v>0</v>
      </c>
      <c r="T117" s="1060">
        <f t="shared" ref="T117:U120" si="51">IF(Q117=0,0,R117/Q117)</f>
        <v>0</v>
      </c>
      <c r="U117" s="1060">
        <f t="shared" si="51"/>
        <v>0</v>
      </c>
      <c r="V117" s="1180"/>
      <c r="W117" s="1180"/>
      <c r="X117" s="878"/>
      <c r="Y117" s="3099" t="s">
        <v>1362</v>
      </c>
    </row>
    <row r="118" spans="1:25" ht="79.2">
      <c r="A118" s="3093"/>
      <c r="B118" s="1173"/>
      <c r="C118" s="3093"/>
      <c r="D118" s="3093"/>
      <c r="E118" s="1156" t="s">
        <v>1568</v>
      </c>
      <c r="F118" s="1192"/>
      <c r="G118" s="1193" t="s">
        <v>1569</v>
      </c>
      <c r="H118" s="1156"/>
      <c r="I118" s="1193" t="s">
        <v>1570</v>
      </c>
      <c r="J118" s="1193" t="s">
        <v>1571</v>
      </c>
      <c r="K118" s="1218">
        <v>213</v>
      </c>
      <c r="L118" s="1234">
        <v>1</v>
      </c>
      <c r="M118" s="880">
        <v>0</v>
      </c>
      <c r="N118" s="1060">
        <v>0</v>
      </c>
      <c r="O118" s="3096"/>
      <c r="P118" s="1081">
        <v>1000000000</v>
      </c>
      <c r="Q118" s="1081">
        <v>1000000000</v>
      </c>
      <c r="R118" s="1081">
        <v>0</v>
      </c>
      <c r="S118" s="1081">
        <v>0</v>
      </c>
      <c r="T118" s="1212">
        <f t="shared" si="51"/>
        <v>0</v>
      </c>
      <c r="U118" s="1212">
        <f t="shared" si="51"/>
        <v>0</v>
      </c>
      <c r="V118" s="1180"/>
      <c r="W118" s="1180"/>
      <c r="X118" s="878"/>
      <c r="Y118" s="3093"/>
    </row>
    <row r="119" spans="1:25">
      <c r="A119" s="3092">
        <v>4143</v>
      </c>
      <c r="B119" s="1173"/>
      <c r="C119" s="3092" t="s">
        <v>123</v>
      </c>
      <c r="D119" s="3095" t="s">
        <v>1572</v>
      </c>
      <c r="E119" s="1156" t="s">
        <v>1692</v>
      </c>
      <c r="F119" s="1192"/>
      <c r="G119" s="1192"/>
      <c r="H119" s="1192"/>
      <c r="I119" s="1192"/>
      <c r="J119" s="1192"/>
      <c r="K119" s="1218">
        <f t="shared" ref="K119:L119" si="52">K120</f>
        <v>1000</v>
      </c>
      <c r="L119" s="1233">
        <f t="shared" si="52"/>
        <v>1</v>
      </c>
      <c r="M119" s="880"/>
      <c r="N119" s="1060">
        <f>SUM(N120)</f>
        <v>0</v>
      </c>
      <c r="O119" s="3073">
        <f>IF(Q119=0,"na",N119)</f>
        <v>0</v>
      </c>
      <c r="P119" s="853">
        <f t="shared" ref="P119:S119" si="53">SUM(P120)</f>
        <v>8171731901</v>
      </c>
      <c r="Q119" s="853">
        <f t="shared" si="53"/>
        <v>8171731901</v>
      </c>
      <c r="R119" s="853">
        <f t="shared" si="53"/>
        <v>0</v>
      </c>
      <c r="S119" s="853">
        <f t="shared" si="53"/>
        <v>0</v>
      </c>
      <c r="T119" s="1060">
        <f t="shared" si="51"/>
        <v>0</v>
      </c>
      <c r="U119" s="1060">
        <f t="shared" si="51"/>
        <v>0</v>
      </c>
      <c r="V119" s="1180"/>
      <c r="W119" s="1180"/>
      <c r="X119" s="878"/>
      <c r="Y119" s="3099" t="s">
        <v>1362</v>
      </c>
    </row>
    <row r="120" spans="1:25" ht="105.6">
      <c r="A120" s="3093"/>
      <c r="B120" s="1173"/>
      <c r="C120" s="3093"/>
      <c r="D120" s="3093"/>
      <c r="E120" s="1219" t="s">
        <v>1573</v>
      </c>
      <c r="F120" s="1217"/>
      <c r="G120" s="857" t="s">
        <v>1574</v>
      </c>
      <c r="H120" s="1235"/>
      <c r="I120" s="857" t="s">
        <v>1575</v>
      </c>
      <c r="J120" s="857" t="s">
        <v>1576</v>
      </c>
      <c r="K120" s="1218">
        <v>1000</v>
      </c>
      <c r="L120" s="1210">
        <v>1</v>
      </c>
      <c r="M120" s="880">
        <v>0</v>
      </c>
      <c r="N120" s="1060">
        <v>0</v>
      </c>
      <c r="O120" s="3096"/>
      <c r="P120" s="1081">
        <v>8171731901</v>
      </c>
      <c r="Q120" s="1081">
        <v>8171731901</v>
      </c>
      <c r="R120" s="1081">
        <v>0</v>
      </c>
      <c r="S120" s="1081">
        <v>0</v>
      </c>
      <c r="T120" s="1212">
        <f t="shared" si="51"/>
        <v>0</v>
      </c>
      <c r="U120" s="1212">
        <f t="shared" si="51"/>
        <v>0</v>
      </c>
      <c r="V120" s="1180"/>
      <c r="W120" s="1180"/>
      <c r="X120" s="878"/>
      <c r="Y120" s="3093"/>
    </row>
    <row r="121" spans="1:25">
      <c r="A121" s="1156"/>
      <c r="B121" s="1172">
        <v>5204003</v>
      </c>
      <c r="C121" s="1172" t="s">
        <v>116</v>
      </c>
      <c r="D121" s="1166" t="s">
        <v>1577</v>
      </c>
      <c r="E121" s="1170"/>
      <c r="F121" s="1170"/>
      <c r="G121" s="1173"/>
      <c r="H121" s="1173"/>
      <c r="I121" s="1173"/>
      <c r="J121" s="1173"/>
      <c r="K121" s="1173"/>
      <c r="L121" s="1201"/>
      <c r="M121" s="880"/>
      <c r="N121" s="1060"/>
      <c r="O121" s="1061"/>
      <c r="P121" s="1081"/>
      <c r="Q121" s="1081"/>
      <c r="R121" s="1081"/>
      <c r="S121" s="1081"/>
      <c r="T121" s="1060"/>
      <c r="U121" s="1060"/>
      <c r="V121" s="1180"/>
      <c r="W121" s="1180"/>
      <c r="X121" s="878"/>
      <c r="Y121" s="1173"/>
    </row>
    <row r="122" spans="1:25" s="46" customFormat="1" ht="27.6">
      <c r="A122" s="1216"/>
      <c r="B122" s="1216">
        <v>52040030003</v>
      </c>
      <c r="C122" s="1216" t="s">
        <v>117</v>
      </c>
      <c r="D122" s="1175" t="s">
        <v>1578</v>
      </c>
      <c r="E122" s="1230"/>
      <c r="F122" s="1224"/>
      <c r="G122" s="1205"/>
      <c r="H122" s="1230"/>
      <c r="I122" s="1205"/>
      <c r="J122" s="1205"/>
      <c r="K122" s="1205"/>
      <c r="L122" s="1247"/>
      <c r="M122" s="1024"/>
      <c r="N122" s="1249"/>
      <c r="O122" s="1253"/>
      <c r="P122" s="1023"/>
      <c r="Q122" s="1178"/>
      <c r="R122" s="1261"/>
      <c r="S122" s="1023"/>
      <c r="T122" s="1249"/>
      <c r="U122" s="1249"/>
      <c r="V122" s="1250"/>
      <c r="W122" s="1250"/>
      <c r="X122" s="845"/>
      <c r="Y122" s="1205"/>
    </row>
    <row r="123" spans="1:25">
      <c r="A123" s="3092">
        <v>4143</v>
      </c>
      <c r="B123" s="1173"/>
      <c r="C123" s="3092" t="s">
        <v>123</v>
      </c>
      <c r="D123" s="3095" t="s">
        <v>1579</v>
      </c>
      <c r="E123" s="1156" t="s">
        <v>1693</v>
      </c>
      <c r="F123" s="1192"/>
      <c r="G123" s="1192"/>
      <c r="H123" s="1236"/>
      <c r="I123" s="1192"/>
      <c r="J123" s="1192"/>
      <c r="K123" s="1218">
        <f>K125</f>
        <v>46</v>
      </c>
      <c r="L123" s="1209">
        <f>SUM(L124:L126)</f>
        <v>0.99999999999999989</v>
      </c>
      <c r="M123" s="880"/>
      <c r="N123" s="1060">
        <f>SUM(N124:N126)</f>
        <v>0</v>
      </c>
      <c r="O123" s="3073">
        <f>IF(Q123=0,"na",N123)</f>
        <v>0</v>
      </c>
      <c r="P123" s="853">
        <f t="shared" ref="P123:S123" si="54">SUM(P124:P126)</f>
        <v>613588000</v>
      </c>
      <c r="Q123" s="853">
        <f t="shared" si="54"/>
        <v>613588000</v>
      </c>
      <c r="R123" s="853">
        <f t="shared" si="54"/>
        <v>0</v>
      </c>
      <c r="S123" s="853">
        <f t="shared" si="54"/>
        <v>0</v>
      </c>
      <c r="T123" s="1060">
        <f t="shared" ref="T123:U126" si="55">IF(Q123=0,0,R123/Q123)</f>
        <v>0</v>
      </c>
      <c r="U123" s="1060">
        <f t="shared" si="55"/>
        <v>0</v>
      </c>
      <c r="V123" s="1180"/>
      <c r="W123" s="1180"/>
      <c r="X123" s="878"/>
      <c r="Y123" s="3099" t="s">
        <v>1362</v>
      </c>
    </row>
    <row r="124" spans="1:25" ht="52.8">
      <c r="A124" s="3093"/>
      <c r="B124" s="1173"/>
      <c r="C124" s="3093"/>
      <c r="D124" s="3093"/>
      <c r="E124" s="1156" t="s">
        <v>1580</v>
      </c>
      <c r="F124" s="1192"/>
      <c r="G124" s="1192"/>
      <c r="H124" s="1217"/>
      <c r="I124" s="1193" t="s">
        <v>1581</v>
      </c>
      <c r="J124" s="1193" t="s">
        <v>1582</v>
      </c>
      <c r="K124" s="1218">
        <v>46</v>
      </c>
      <c r="L124" s="1210">
        <v>0.3</v>
      </c>
      <c r="M124" s="880">
        <v>0</v>
      </c>
      <c r="N124" s="1060">
        <v>0</v>
      </c>
      <c r="O124" s="3096"/>
      <c r="P124" s="1081">
        <v>178326000</v>
      </c>
      <c r="Q124" s="1081">
        <v>178326000</v>
      </c>
      <c r="R124" s="1081">
        <v>0</v>
      </c>
      <c r="S124" s="1081">
        <v>0</v>
      </c>
      <c r="T124" s="1212">
        <f t="shared" si="55"/>
        <v>0</v>
      </c>
      <c r="U124" s="1212">
        <f t="shared" si="55"/>
        <v>0</v>
      </c>
      <c r="V124" s="1180"/>
      <c r="W124" s="1180"/>
      <c r="X124" s="878"/>
      <c r="Y124" s="3093"/>
    </row>
    <row r="125" spans="1:25" ht="118.8">
      <c r="A125" s="3093"/>
      <c r="B125" s="1173"/>
      <c r="C125" s="3093"/>
      <c r="D125" s="3093"/>
      <c r="E125" s="1156" t="s">
        <v>1583</v>
      </c>
      <c r="F125" s="1192"/>
      <c r="G125" s="1193" t="s">
        <v>1584</v>
      </c>
      <c r="H125" s="1156"/>
      <c r="I125" s="1193" t="s">
        <v>1585</v>
      </c>
      <c r="J125" s="1193" t="s">
        <v>1586</v>
      </c>
      <c r="K125" s="1218">
        <v>46</v>
      </c>
      <c r="L125" s="1210">
        <v>0.6</v>
      </c>
      <c r="M125" s="880">
        <v>0</v>
      </c>
      <c r="N125" s="1060">
        <v>0</v>
      </c>
      <c r="O125" s="3096"/>
      <c r="P125" s="1081">
        <v>386400000</v>
      </c>
      <c r="Q125" s="1081">
        <v>386400000</v>
      </c>
      <c r="R125" s="1081">
        <v>0</v>
      </c>
      <c r="S125" s="1081">
        <v>0</v>
      </c>
      <c r="T125" s="1212">
        <f t="shared" si="55"/>
        <v>0</v>
      </c>
      <c r="U125" s="1212">
        <f t="shared" si="55"/>
        <v>0</v>
      </c>
      <c r="V125" s="1180"/>
      <c r="W125" s="1180"/>
      <c r="X125" s="878"/>
      <c r="Y125" s="3093"/>
    </row>
    <row r="126" spans="1:25" ht="39.6">
      <c r="A126" s="3093"/>
      <c r="B126" s="1173"/>
      <c r="C126" s="3093"/>
      <c r="D126" s="3093"/>
      <c r="E126" s="1156" t="s">
        <v>1587</v>
      </c>
      <c r="F126" s="1192"/>
      <c r="G126" s="1192"/>
      <c r="H126" s="1192"/>
      <c r="I126" s="1193" t="s">
        <v>1588</v>
      </c>
      <c r="J126" s="1193" t="s">
        <v>138</v>
      </c>
      <c r="K126" s="1218">
        <v>1</v>
      </c>
      <c r="L126" s="1210">
        <v>0.1</v>
      </c>
      <c r="M126" s="880">
        <v>0</v>
      </c>
      <c r="N126" s="1060">
        <v>0</v>
      </c>
      <c r="O126" s="3096"/>
      <c r="P126" s="1081">
        <v>48862000</v>
      </c>
      <c r="Q126" s="1081">
        <v>48862000</v>
      </c>
      <c r="R126" s="1081">
        <v>0</v>
      </c>
      <c r="S126" s="1081">
        <v>0</v>
      </c>
      <c r="T126" s="1212">
        <f t="shared" si="55"/>
        <v>0</v>
      </c>
      <c r="U126" s="1212">
        <f t="shared" si="55"/>
        <v>0</v>
      </c>
      <c r="V126" s="1180"/>
      <c r="W126" s="1180"/>
      <c r="X126" s="878"/>
      <c r="Y126" s="3093"/>
    </row>
    <row r="127" spans="1:25">
      <c r="A127" s="1156"/>
      <c r="B127" s="1172">
        <v>5204004</v>
      </c>
      <c r="C127" s="1172" t="s">
        <v>116</v>
      </c>
      <c r="D127" s="1166" t="s">
        <v>1589</v>
      </c>
      <c r="E127" s="1173"/>
      <c r="F127" s="1173"/>
      <c r="G127" s="1173"/>
      <c r="H127" s="1173"/>
      <c r="I127" s="1173"/>
      <c r="J127" s="1173"/>
      <c r="K127" s="1173"/>
      <c r="L127" s="1201"/>
      <c r="M127" s="880"/>
      <c r="N127" s="1060"/>
      <c r="O127" s="1061"/>
      <c r="P127" s="1081"/>
      <c r="Q127" s="1081"/>
      <c r="R127" s="1081"/>
      <c r="S127" s="1081"/>
      <c r="T127" s="1060"/>
      <c r="U127" s="1060"/>
      <c r="V127" s="1180"/>
      <c r="W127" s="1180"/>
      <c r="X127" s="878"/>
      <c r="Y127" s="1173"/>
    </row>
    <row r="128" spans="1:25" s="46" customFormat="1" ht="27.6">
      <c r="A128" s="1216"/>
      <c r="B128" s="1216">
        <v>52040040003</v>
      </c>
      <c r="C128" s="1216" t="s">
        <v>117</v>
      </c>
      <c r="D128" s="1175" t="s">
        <v>1590</v>
      </c>
      <c r="E128" s="1205"/>
      <c r="F128" s="1216"/>
      <c r="G128" s="1205"/>
      <c r="H128" s="1205"/>
      <c r="I128" s="1205"/>
      <c r="J128" s="1205"/>
      <c r="K128" s="1205"/>
      <c r="L128" s="1247"/>
      <c r="M128" s="1024"/>
      <c r="N128" s="1249"/>
      <c r="O128" s="1253"/>
      <c r="P128" s="1258"/>
      <c r="Q128" s="1258"/>
      <c r="R128" s="1258"/>
      <c r="S128" s="1258"/>
      <c r="T128" s="1249"/>
      <c r="U128" s="1249"/>
      <c r="V128" s="1250"/>
      <c r="W128" s="1250"/>
      <c r="X128" s="845"/>
      <c r="Y128" s="1205"/>
    </row>
    <row r="129" spans="1:25">
      <c r="A129" s="3092">
        <v>4143</v>
      </c>
      <c r="B129" s="1173"/>
      <c r="C129" s="3092" t="s">
        <v>123</v>
      </c>
      <c r="D129" s="3095" t="s">
        <v>1591</v>
      </c>
      <c r="E129" s="1156" t="s">
        <v>1694</v>
      </c>
      <c r="F129" s="1192"/>
      <c r="G129" s="1192"/>
      <c r="H129" s="1192"/>
      <c r="I129" s="1192"/>
      <c r="J129" s="1192"/>
      <c r="K129" s="1218">
        <f>K131</f>
        <v>92</v>
      </c>
      <c r="L129" s="1209">
        <f>SUM(L130:L131)</f>
        <v>1</v>
      </c>
      <c r="M129" s="880"/>
      <c r="N129" s="1060">
        <f>SUM(N130:N131)</f>
        <v>0</v>
      </c>
      <c r="O129" s="3073">
        <f>IF(Q129=0,"na",N129)</f>
        <v>0</v>
      </c>
      <c r="P129" s="853">
        <f t="shared" ref="P129:S129" si="56">SUM(P130:P131)</f>
        <v>332040000</v>
      </c>
      <c r="Q129" s="853">
        <f t="shared" si="56"/>
        <v>332040000</v>
      </c>
      <c r="R129" s="853">
        <f t="shared" si="56"/>
        <v>0</v>
      </c>
      <c r="S129" s="853">
        <f t="shared" si="56"/>
        <v>0</v>
      </c>
      <c r="T129" s="1060">
        <f t="shared" ref="T129:U131" si="57">IF(Q129=0,0,R129/Q129)</f>
        <v>0</v>
      </c>
      <c r="U129" s="1060">
        <f t="shared" si="57"/>
        <v>0</v>
      </c>
      <c r="V129" s="1180"/>
      <c r="W129" s="1180"/>
      <c r="X129" s="878"/>
      <c r="Y129" s="3099" t="s">
        <v>1362</v>
      </c>
    </row>
    <row r="130" spans="1:25" ht="52.8">
      <c r="A130" s="3093"/>
      <c r="B130" s="1173"/>
      <c r="C130" s="3093"/>
      <c r="D130" s="3093"/>
      <c r="E130" s="1156" t="s">
        <v>1592</v>
      </c>
      <c r="F130" s="1192"/>
      <c r="G130" s="1192"/>
      <c r="H130" s="1192"/>
      <c r="I130" s="1193" t="s">
        <v>1593</v>
      </c>
      <c r="J130" s="1193" t="s">
        <v>1594</v>
      </c>
      <c r="K130" s="1218">
        <v>92</v>
      </c>
      <c r="L130" s="1210">
        <v>0.5</v>
      </c>
      <c r="M130" s="880">
        <v>0</v>
      </c>
      <c r="N130" s="1060">
        <v>0</v>
      </c>
      <c r="O130" s="3096"/>
      <c r="P130" s="1081">
        <v>12800000</v>
      </c>
      <c r="Q130" s="1081">
        <v>12800000</v>
      </c>
      <c r="R130" s="1081">
        <v>0</v>
      </c>
      <c r="S130" s="1081">
        <v>0</v>
      </c>
      <c r="T130" s="1212">
        <f t="shared" si="57"/>
        <v>0</v>
      </c>
      <c r="U130" s="1212">
        <f t="shared" si="57"/>
        <v>0</v>
      </c>
      <c r="V130" s="1180"/>
      <c r="W130" s="1180"/>
      <c r="X130" s="878"/>
      <c r="Y130" s="3093"/>
    </row>
    <row r="131" spans="1:25" ht="79.2">
      <c r="A131" s="3093"/>
      <c r="B131" s="1173"/>
      <c r="C131" s="3093"/>
      <c r="D131" s="3093"/>
      <c r="E131" s="1156" t="s">
        <v>1595</v>
      </c>
      <c r="F131" s="1192"/>
      <c r="G131" s="1193" t="s">
        <v>1596</v>
      </c>
      <c r="H131" s="1156"/>
      <c r="I131" s="1193" t="s">
        <v>1597</v>
      </c>
      <c r="J131" s="1193" t="s">
        <v>1598</v>
      </c>
      <c r="K131" s="1218">
        <v>92</v>
      </c>
      <c r="L131" s="1210">
        <v>0.5</v>
      </c>
      <c r="M131" s="880">
        <v>0</v>
      </c>
      <c r="N131" s="1060">
        <v>0</v>
      </c>
      <c r="O131" s="3096"/>
      <c r="P131" s="1081">
        <v>319240000</v>
      </c>
      <c r="Q131" s="1081">
        <v>319240000</v>
      </c>
      <c r="R131" s="1081">
        <v>0</v>
      </c>
      <c r="S131" s="1081">
        <v>0</v>
      </c>
      <c r="T131" s="1212">
        <f t="shared" si="57"/>
        <v>0</v>
      </c>
      <c r="U131" s="1212">
        <f t="shared" si="57"/>
        <v>0</v>
      </c>
      <c r="V131" s="1180"/>
      <c r="W131" s="1180"/>
      <c r="X131" s="878"/>
      <c r="Y131" s="3093"/>
    </row>
    <row r="132" spans="1:25" s="46" customFormat="1" ht="27.6">
      <c r="A132" s="1216"/>
      <c r="B132" s="1216">
        <v>52040040004</v>
      </c>
      <c r="C132" s="1216" t="s">
        <v>117</v>
      </c>
      <c r="D132" s="1175" t="s">
        <v>1599</v>
      </c>
      <c r="E132" s="1205"/>
      <c r="F132" s="1216"/>
      <c r="G132" s="1205"/>
      <c r="H132" s="1205"/>
      <c r="I132" s="1205"/>
      <c r="J132" s="1205"/>
      <c r="K132" s="1205"/>
      <c r="L132" s="1247"/>
      <c r="M132" s="1024"/>
      <c r="N132" s="1249"/>
      <c r="O132" s="1253"/>
      <c r="P132" s="1258"/>
      <c r="Q132" s="1258"/>
      <c r="R132" s="1258"/>
      <c r="S132" s="1258"/>
      <c r="T132" s="1249"/>
      <c r="U132" s="1249"/>
      <c r="V132" s="1250"/>
      <c r="W132" s="1250"/>
      <c r="X132" s="845"/>
      <c r="Y132" s="1205"/>
    </row>
    <row r="133" spans="1:25">
      <c r="A133" s="3092">
        <v>4143</v>
      </c>
      <c r="B133" s="1173"/>
      <c r="C133" s="3092" t="s">
        <v>123</v>
      </c>
      <c r="D133" s="3095" t="s">
        <v>1600</v>
      </c>
      <c r="E133" s="1156" t="s">
        <v>1695</v>
      </c>
      <c r="F133" s="1192"/>
      <c r="G133" s="1192"/>
      <c r="H133" s="1236"/>
      <c r="I133" s="1192"/>
      <c r="J133" s="1192"/>
      <c r="K133" s="1218">
        <f>K135</f>
        <v>14</v>
      </c>
      <c r="L133" s="1209">
        <f>SUM(L134:L136)</f>
        <v>1</v>
      </c>
      <c r="M133" s="880"/>
      <c r="N133" s="1060">
        <f>SUM(N134:N136)</f>
        <v>0</v>
      </c>
      <c r="O133" s="3073">
        <f>IF(Q133=0,"na",N133)</f>
        <v>0</v>
      </c>
      <c r="P133" s="853">
        <f t="shared" ref="P133:S133" si="58">SUM(P134:P136)</f>
        <v>772322144</v>
      </c>
      <c r="Q133" s="853">
        <f t="shared" si="58"/>
        <v>772322144</v>
      </c>
      <c r="R133" s="853">
        <f t="shared" si="58"/>
        <v>0</v>
      </c>
      <c r="S133" s="853">
        <f t="shared" si="58"/>
        <v>0</v>
      </c>
      <c r="T133" s="1060">
        <f t="shared" ref="T133:U136" si="59">IF(Q133=0,0,R133/Q133)</f>
        <v>0</v>
      </c>
      <c r="U133" s="1060">
        <f t="shared" si="59"/>
        <v>0</v>
      </c>
      <c r="V133" s="1180"/>
      <c r="W133" s="1180"/>
      <c r="X133" s="878"/>
      <c r="Y133" s="3098" t="s">
        <v>1601</v>
      </c>
    </row>
    <row r="134" spans="1:25" ht="92.4">
      <c r="A134" s="3093"/>
      <c r="B134" s="1173"/>
      <c r="C134" s="3093"/>
      <c r="D134" s="3093"/>
      <c r="E134" s="1156" t="s">
        <v>1602</v>
      </c>
      <c r="F134" s="1192"/>
      <c r="G134" s="1192"/>
      <c r="H134" s="1192"/>
      <c r="I134" s="1193" t="s">
        <v>1603</v>
      </c>
      <c r="J134" s="1193" t="s">
        <v>1529</v>
      </c>
      <c r="K134" s="1218">
        <v>14</v>
      </c>
      <c r="L134" s="1210">
        <v>0.3</v>
      </c>
      <c r="M134" s="880">
        <v>0</v>
      </c>
      <c r="N134" s="1060">
        <v>0</v>
      </c>
      <c r="O134" s="3096"/>
      <c r="P134" s="1081">
        <v>637542000</v>
      </c>
      <c r="Q134" s="1081">
        <v>637542000</v>
      </c>
      <c r="R134" s="1081">
        <v>0</v>
      </c>
      <c r="S134" s="1081">
        <v>0</v>
      </c>
      <c r="T134" s="1212">
        <f t="shared" si="59"/>
        <v>0</v>
      </c>
      <c r="U134" s="1212">
        <f t="shared" si="59"/>
        <v>0</v>
      </c>
      <c r="V134" s="1180"/>
      <c r="W134" s="1180"/>
      <c r="X134" s="878"/>
      <c r="Y134" s="3093"/>
    </row>
    <row r="135" spans="1:25" ht="145.19999999999999">
      <c r="A135" s="3093"/>
      <c r="B135" s="1173"/>
      <c r="C135" s="3093"/>
      <c r="D135" s="3093"/>
      <c r="E135" s="1156" t="s">
        <v>1604</v>
      </c>
      <c r="F135" s="1192"/>
      <c r="G135" s="1193" t="s">
        <v>1605</v>
      </c>
      <c r="H135" s="1190"/>
      <c r="I135" s="1193" t="s">
        <v>1606</v>
      </c>
      <c r="J135" s="1193" t="s">
        <v>1607</v>
      </c>
      <c r="K135" s="1218">
        <v>14</v>
      </c>
      <c r="L135" s="1210">
        <v>0.3</v>
      </c>
      <c r="M135" s="880">
        <v>0</v>
      </c>
      <c r="N135" s="1060">
        <v>0</v>
      </c>
      <c r="O135" s="3096"/>
      <c r="P135" s="1081">
        <v>49254144</v>
      </c>
      <c r="Q135" s="1081">
        <v>49254144</v>
      </c>
      <c r="R135" s="1081">
        <v>0</v>
      </c>
      <c r="S135" s="1081">
        <v>0</v>
      </c>
      <c r="T135" s="1212">
        <f t="shared" si="59"/>
        <v>0</v>
      </c>
      <c r="U135" s="1212">
        <f t="shared" si="59"/>
        <v>0</v>
      </c>
      <c r="V135" s="1180"/>
      <c r="W135" s="1180"/>
      <c r="X135" s="878"/>
      <c r="Y135" s="3093"/>
    </row>
    <row r="136" spans="1:25" ht="39.6">
      <c r="A136" s="3093"/>
      <c r="B136" s="1173"/>
      <c r="C136" s="3093"/>
      <c r="D136" s="3093"/>
      <c r="E136" s="1156" t="s">
        <v>1608</v>
      </c>
      <c r="F136" s="1192"/>
      <c r="G136" s="1192"/>
      <c r="H136" s="1192"/>
      <c r="I136" s="1193" t="s">
        <v>1609</v>
      </c>
      <c r="J136" s="1193" t="s">
        <v>1610</v>
      </c>
      <c r="K136" s="1218">
        <v>14</v>
      </c>
      <c r="L136" s="1210">
        <v>0.4</v>
      </c>
      <c r="M136" s="880">
        <v>0</v>
      </c>
      <c r="N136" s="1060">
        <v>0</v>
      </c>
      <c r="O136" s="3096"/>
      <c r="P136" s="1081">
        <v>85526000</v>
      </c>
      <c r="Q136" s="1081">
        <v>85526000</v>
      </c>
      <c r="R136" s="1081">
        <v>0</v>
      </c>
      <c r="S136" s="1081">
        <v>0</v>
      </c>
      <c r="T136" s="1212">
        <f t="shared" si="59"/>
        <v>0</v>
      </c>
      <c r="U136" s="1212">
        <f t="shared" si="59"/>
        <v>0</v>
      </c>
      <c r="V136" s="1180"/>
      <c r="W136" s="1184"/>
      <c r="X136" s="878"/>
      <c r="Y136" s="3093"/>
    </row>
    <row r="137" spans="1:25">
      <c r="A137" s="1156"/>
      <c r="B137" s="1172">
        <v>5204005</v>
      </c>
      <c r="C137" s="1172" t="s">
        <v>116</v>
      </c>
      <c r="D137" s="1166" t="s">
        <v>1611</v>
      </c>
      <c r="E137" s="1173"/>
      <c r="F137" s="1173"/>
      <c r="G137" s="1173"/>
      <c r="H137" s="1173"/>
      <c r="I137" s="1173"/>
      <c r="J137" s="1173"/>
      <c r="K137" s="1173"/>
      <c r="L137" s="1201"/>
      <c r="M137" s="880"/>
      <c r="N137" s="1060"/>
      <c r="O137" s="1061"/>
      <c r="P137" s="1081"/>
      <c r="Q137" s="1081"/>
      <c r="R137" s="1081"/>
      <c r="S137" s="1081"/>
      <c r="T137" s="1181"/>
      <c r="U137" s="1060"/>
      <c r="V137" s="1180"/>
      <c r="W137" s="1180"/>
      <c r="X137" s="878"/>
      <c r="Y137" s="1173"/>
    </row>
    <row r="138" spans="1:25" s="46" customFormat="1">
      <c r="A138" s="1216"/>
      <c r="B138" s="1216">
        <v>52040050005</v>
      </c>
      <c r="C138" s="1216" t="s">
        <v>117</v>
      </c>
      <c r="D138" s="1175" t="s">
        <v>1612</v>
      </c>
      <c r="E138" s="1205"/>
      <c r="F138" s="1216"/>
      <c r="G138" s="1205"/>
      <c r="H138" s="1205"/>
      <c r="I138" s="1205"/>
      <c r="J138" s="1205"/>
      <c r="K138" s="1205"/>
      <c r="L138" s="1247"/>
      <c r="M138" s="1024"/>
      <c r="N138" s="1249"/>
      <c r="O138" s="1253"/>
      <c r="P138" s="1258"/>
      <c r="Q138" s="1258"/>
      <c r="R138" s="1258"/>
      <c r="S138" s="1258"/>
      <c r="T138" s="1249"/>
      <c r="U138" s="1249"/>
      <c r="V138" s="1250"/>
      <c r="W138" s="1250"/>
      <c r="X138" s="845"/>
      <c r="Y138" s="1205"/>
    </row>
    <row r="139" spans="1:25">
      <c r="A139" s="3092">
        <v>4143</v>
      </c>
      <c r="B139" s="1173"/>
      <c r="C139" s="3092" t="s">
        <v>123</v>
      </c>
      <c r="D139" s="3095" t="s">
        <v>1613</v>
      </c>
      <c r="E139" s="1156" t="s">
        <v>1696</v>
      </c>
      <c r="F139" s="1192"/>
      <c r="G139" s="1192"/>
      <c r="H139" s="1236"/>
      <c r="I139" s="1192"/>
      <c r="J139" s="1192"/>
      <c r="K139" s="1218">
        <f>K140</f>
        <v>92</v>
      </c>
      <c r="L139" s="1233">
        <f>SUM(L140:L144)</f>
        <v>1</v>
      </c>
      <c r="M139" s="880"/>
      <c r="N139" s="1060">
        <f>SUM(N140:N144)</f>
        <v>0</v>
      </c>
      <c r="O139" s="3073">
        <f>IF(Q139=0,"na",N139)</f>
        <v>0</v>
      </c>
      <c r="P139" s="853">
        <f t="shared" ref="P139:S139" si="60">SUM(P140:P144)</f>
        <v>7483734951</v>
      </c>
      <c r="Q139" s="853">
        <f t="shared" si="60"/>
        <v>7483734951</v>
      </c>
      <c r="R139" s="853">
        <f t="shared" si="60"/>
        <v>0</v>
      </c>
      <c r="S139" s="853">
        <f t="shared" si="60"/>
        <v>0</v>
      </c>
      <c r="T139" s="1060">
        <f t="shared" ref="T139:U144" si="61">IF(Q139=0,0,R139/Q139)</f>
        <v>0</v>
      </c>
      <c r="U139" s="1060">
        <f t="shared" si="61"/>
        <v>0</v>
      </c>
      <c r="V139" s="1180"/>
      <c r="W139" s="1180"/>
      <c r="X139" s="878"/>
      <c r="Y139" s="3098" t="s">
        <v>1601</v>
      </c>
    </row>
    <row r="140" spans="1:25" ht="92.4">
      <c r="A140" s="3093"/>
      <c r="B140" s="1173"/>
      <c r="C140" s="3093"/>
      <c r="D140" s="3093"/>
      <c r="E140" s="1156" t="s">
        <v>1614</v>
      </c>
      <c r="F140" s="1192"/>
      <c r="G140" s="857" t="s">
        <v>1615</v>
      </c>
      <c r="H140" s="1156"/>
      <c r="I140" s="857" t="s">
        <v>1616</v>
      </c>
      <c r="J140" s="1193" t="s">
        <v>1617</v>
      </c>
      <c r="K140" s="1218">
        <v>92</v>
      </c>
      <c r="L140" s="1210">
        <v>0.15</v>
      </c>
      <c r="M140" s="880">
        <v>0</v>
      </c>
      <c r="N140" s="1060">
        <v>0</v>
      </c>
      <c r="O140" s="3096"/>
      <c r="P140" s="1081">
        <v>2034599694</v>
      </c>
      <c r="Q140" s="1081">
        <v>2034599694</v>
      </c>
      <c r="R140" s="1081">
        <v>0</v>
      </c>
      <c r="S140" s="1081">
        <v>0</v>
      </c>
      <c r="T140" s="1212">
        <f t="shared" si="61"/>
        <v>0</v>
      </c>
      <c r="U140" s="1212">
        <f t="shared" si="61"/>
        <v>0</v>
      </c>
      <c r="V140" s="1180"/>
      <c r="W140" s="1180"/>
      <c r="X140" s="878"/>
      <c r="Y140" s="3093"/>
    </row>
    <row r="141" spans="1:25" ht="79.2">
      <c r="A141" s="3093"/>
      <c r="B141" s="1173"/>
      <c r="C141" s="3093"/>
      <c r="D141" s="3093"/>
      <c r="E141" s="1156" t="s">
        <v>1618</v>
      </c>
      <c r="F141" s="1192"/>
      <c r="G141" s="1192"/>
      <c r="H141" s="1192"/>
      <c r="I141" s="857" t="s">
        <v>1619</v>
      </c>
      <c r="J141" s="1193" t="s">
        <v>1620</v>
      </c>
      <c r="K141" s="1218">
        <v>24</v>
      </c>
      <c r="L141" s="1210">
        <v>0.1</v>
      </c>
      <c r="M141" s="880">
        <v>0</v>
      </c>
      <c r="N141" s="1060">
        <v>0</v>
      </c>
      <c r="O141" s="3096"/>
      <c r="P141" s="1081">
        <v>358161410</v>
      </c>
      <c r="Q141" s="1081">
        <v>358161410</v>
      </c>
      <c r="R141" s="1081">
        <v>0</v>
      </c>
      <c r="S141" s="1081">
        <v>0</v>
      </c>
      <c r="T141" s="1212">
        <f t="shared" si="61"/>
        <v>0</v>
      </c>
      <c r="U141" s="1212">
        <f t="shared" si="61"/>
        <v>0</v>
      </c>
      <c r="V141" s="1180"/>
      <c r="W141" s="1180"/>
      <c r="X141" s="878"/>
      <c r="Y141" s="3093"/>
    </row>
    <row r="142" spans="1:25" ht="66">
      <c r="A142" s="3093"/>
      <c r="B142" s="1173"/>
      <c r="C142" s="3093"/>
      <c r="D142" s="3093"/>
      <c r="E142" s="1156" t="s">
        <v>1621</v>
      </c>
      <c r="F142" s="1192"/>
      <c r="G142" s="1192"/>
      <c r="H142" s="1192"/>
      <c r="I142" s="857" t="s">
        <v>1622</v>
      </c>
      <c r="J142" s="1193" t="s">
        <v>1623</v>
      </c>
      <c r="K142" s="1218">
        <v>4</v>
      </c>
      <c r="L142" s="1210">
        <v>0.15</v>
      </c>
      <c r="M142" s="880">
        <v>0</v>
      </c>
      <c r="N142" s="1060">
        <v>0</v>
      </c>
      <c r="O142" s="3096"/>
      <c r="P142" s="1081">
        <v>2820127517</v>
      </c>
      <c r="Q142" s="1081">
        <v>2820127517</v>
      </c>
      <c r="R142" s="1081">
        <v>0</v>
      </c>
      <c r="S142" s="1081">
        <v>0</v>
      </c>
      <c r="T142" s="1212">
        <f t="shared" si="61"/>
        <v>0</v>
      </c>
      <c r="U142" s="1212">
        <f t="shared" si="61"/>
        <v>0</v>
      </c>
      <c r="V142" s="1180"/>
      <c r="W142" s="1180"/>
      <c r="X142" s="878"/>
      <c r="Y142" s="3093"/>
    </row>
    <row r="143" spans="1:25" ht="105.6">
      <c r="A143" s="3093"/>
      <c r="B143" s="1173"/>
      <c r="C143" s="3093"/>
      <c r="D143" s="3093"/>
      <c r="E143" s="1156" t="s">
        <v>1624</v>
      </c>
      <c r="F143" s="1192"/>
      <c r="G143" s="1192"/>
      <c r="H143" s="1192"/>
      <c r="I143" s="857" t="s">
        <v>1625</v>
      </c>
      <c r="J143" s="1193" t="s">
        <v>1626</v>
      </c>
      <c r="K143" s="1218">
        <v>400</v>
      </c>
      <c r="L143" s="1210">
        <v>0.3</v>
      </c>
      <c r="M143" s="880">
        <v>0</v>
      </c>
      <c r="N143" s="1060">
        <v>0</v>
      </c>
      <c r="O143" s="3096"/>
      <c r="P143" s="1081">
        <v>1195674690</v>
      </c>
      <c r="Q143" s="1081">
        <v>1195674690</v>
      </c>
      <c r="R143" s="1081">
        <v>0</v>
      </c>
      <c r="S143" s="1081">
        <v>0</v>
      </c>
      <c r="T143" s="1212">
        <f t="shared" si="61"/>
        <v>0</v>
      </c>
      <c r="U143" s="1212">
        <f t="shared" si="61"/>
        <v>0</v>
      </c>
      <c r="V143" s="1180"/>
      <c r="W143" s="1180"/>
      <c r="X143" s="878"/>
      <c r="Y143" s="3093"/>
    </row>
    <row r="144" spans="1:25" ht="105.6">
      <c r="A144" s="3093"/>
      <c r="B144" s="1173"/>
      <c r="C144" s="3093"/>
      <c r="D144" s="3093"/>
      <c r="E144" s="1156" t="s">
        <v>1627</v>
      </c>
      <c r="F144" s="1192"/>
      <c r="G144" s="1192"/>
      <c r="H144" s="1192"/>
      <c r="I144" s="857" t="s">
        <v>1628</v>
      </c>
      <c r="J144" s="1193" t="s">
        <v>1629</v>
      </c>
      <c r="K144" s="1218">
        <v>2550</v>
      </c>
      <c r="L144" s="1210">
        <v>0.3</v>
      </c>
      <c r="M144" s="880">
        <v>0</v>
      </c>
      <c r="N144" s="1060">
        <v>0</v>
      </c>
      <c r="O144" s="3096"/>
      <c r="P144" s="1081">
        <v>1075171640</v>
      </c>
      <c r="Q144" s="1081">
        <v>1075171640</v>
      </c>
      <c r="R144" s="1081">
        <v>0</v>
      </c>
      <c r="S144" s="1081">
        <v>0</v>
      </c>
      <c r="T144" s="1212">
        <f t="shared" si="61"/>
        <v>0</v>
      </c>
      <c r="U144" s="1212">
        <f t="shared" si="61"/>
        <v>0</v>
      </c>
      <c r="V144" s="1180"/>
      <c r="W144" s="1180"/>
      <c r="X144" s="878"/>
      <c r="Y144" s="3093"/>
    </row>
    <row r="145" spans="1:25" s="46" customFormat="1">
      <c r="A145" s="1216"/>
      <c r="B145" s="1216">
        <v>52040050006</v>
      </c>
      <c r="C145" s="1216" t="s">
        <v>117</v>
      </c>
      <c r="D145" s="1175" t="s">
        <v>1630</v>
      </c>
      <c r="E145" s="1205"/>
      <c r="F145" s="1221"/>
      <c r="G145" s="1205"/>
      <c r="H145" s="1205"/>
      <c r="I145" s="1205"/>
      <c r="J145" s="1205"/>
      <c r="K145" s="1205"/>
      <c r="L145" s="1247"/>
      <c r="M145" s="1024"/>
      <c r="N145" s="1249"/>
      <c r="O145" s="1262"/>
      <c r="P145" s="1258"/>
      <c r="Q145" s="1258"/>
      <c r="R145" s="1258"/>
      <c r="S145" s="1258"/>
      <c r="T145" s="1249"/>
      <c r="U145" s="1249"/>
      <c r="V145" s="1250"/>
      <c r="W145" s="1250"/>
      <c r="X145" s="1175"/>
      <c r="Y145" s="1205"/>
    </row>
    <row r="146" spans="1:25">
      <c r="A146" s="3092">
        <v>4143</v>
      </c>
      <c r="B146" s="1173"/>
      <c r="C146" s="3092" t="s">
        <v>123</v>
      </c>
      <c r="D146" s="3095" t="s">
        <v>1631</v>
      </c>
      <c r="E146" s="1156" t="s">
        <v>1697</v>
      </c>
      <c r="F146" s="1192"/>
      <c r="G146" s="1192"/>
      <c r="H146" s="1237"/>
      <c r="I146" s="1192"/>
      <c r="J146" s="1192"/>
      <c r="K146" s="1218">
        <f>K147</f>
        <v>1</v>
      </c>
      <c r="L146" s="1233">
        <f>SUM(L147:L148)</f>
        <v>1</v>
      </c>
      <c r="M146" s="880"/>
      <c r="N146" s="1060">
        <f>SUM(N147:N148)</f>
        <v>0</v>
      </c>
      <c r="O146" s="3073">
        <f>IF(Q146=0,"na",N146)</f>
        <v>0</v>
      </c>
      <c r="P146" s="853">
        <f t="shared" ref="P146:S146" si="62">SUM(P147:P148)</f>
        <v>302131000</v>
      </c>
      <c r="Q146" s="853">
        <f t="shared" si="62"/>
        <v>302131000</v>
      </c>
      <c r="R146" s="853">
        <f t="shared" si="62"/>
        <v>0</v>
      </c>
      <c r="S146" s="853">
        <f t="shared" si="62"/>
        <v>0</v>
      </c>
      <c r="T146" s="1060">
        <f t="shared" ref="T146:U148" si="63">IF(Q146=0,0,R146/Q146)</f>
        <v>0</v>
      </c>
      <c r="U146" s="1060">
        <f t="shared" si="63"/>
        <v>0</v>
      </c>
      <c r="V146" s="1180"/>
      <c r="W146" s="1180"/>
      <c r="X146" s="878"/>
      <c r="Y146" s="3098" t="s">
        <v>1601</v>
      </c>
    </row>
    <row r="147" spans="1:25" ht="79.2">
      <c r="A147" s="3093"/>
      <c r="B147" s="1173"/>
      <c r="C147" s="3093"/>
      <c r="D147" s="3093"/>
      <c r="E147" s="1156" t="s">
        <v>1632</v>
      </c>
      <c r="F147" s="1192"/>
      <c r="G147" s="1193" t="s">
        <v>1633</v>
      </c>
      <c r="H147" s="1194"/>
      <c r="I147" s="1193" t="s">
        <v>1634</v>
      </c>
      <c r="J147" s="1193" t="s">
        <v>1635</v>
      </c>
      <c r="K147" s="1218">
        <v>1</v>
      </c>
      <c r="L147" s="1210">
        <v>0.5</v>
      </c>
      <c r="M147" s="880"/>
      <c r="N147" s="1060"/>
      <c r="O147" s="3096"/>
      <c r="P147" s="1081">
        <v>146291000</v>
      </c>
      <c r="Q147" s="1081">
        <v>146291000</v>
      </c>
      <c r="R147" s="1081">
        <v>0</v>
      </c>
      <c r="S147" s="1081">
        <v>0</v>
      </c>
      <c r="T147" s="1212">
        <f t="shared" si="63"/>
        <v>0</v>
      </c>
      <c r="U147" s="1212">
        <f t="shared" si="63"/>
        <v>0</v>
      </c>
      <c r="V147" s="1180"/>
      <c r="W147" s="1180"/>
      <c r="X147" s="1195"/>
      <c r="Y147" s="3093"/>
    </row>
    <row r="148" spans="1:25" ht="118.8">
      <c r="A148" s="3093"/>
      <c r="B148" s="1173"/>
      <c r="C148" s="3093"/>
      <c r="D148" s="3093"/>
      <c r="E148" s="1156" t="s">
        <v>1636</v>
      </c>
      <c r="F148" s="1192"/>
      <c r="G148" s="1192"/>
      <c r="H148" s="1192"/>
      <c r="I148" s="1193" t="s">
        <v>1637</v>
      </c>
      <c r="J148" s="1193" t="s">
        <v>1638</v>
      </c>
      <c r="K148" s="1218">
        <v>4</v>
      </c>
      <c r="L148" s="1210">
        <v>0.5</v>
      </c>
      <c r="M148" s="880"/>
      <c r="N148" s="1060"/>
      <c r="O148" s="3096"/>
      <c r="P148" s="1081">
        <v>155840000</v>
      </c>
      <c r="Q148" s="1081">
        <v>155840000</v>
      </c>
      <c r="R148" s="1081">
        <v>0</v>
      </c>
      <c r="S148" s="1081">
        <v>0</v>
      </c>
      <c r="T148" s="1212">
        <f t="shared" si="63"/>
        <v>0</v>
      </c>
      <c r="U148" s="1212">
        <f t="shared" si="63"/>
        <v>0</v>
      </c>
      <c r="V148" s="1180"/>
      <c r="W148" s="1180"/>
      <c r="X148" s="1195"/>
      <c r="Y148" s="3093"/>
    </row>
    <row r="149" spans="1:25" s="46" customFormat="1">
      <c r="A149" s="1216"/>
      <c r="B149" s="1216">
        <v>52040050007</v>
      </c>
      <c r="C149" s="1216" t="s">
        <v>117</v>
      </c>
      <c r="D149" s="1175" t="s">
        <v>1639</v>
      </c>
      <c r="E149" s="1205"/>
      <c r="F149" s="1221"/>
      <c r="G149" s="1205"/>
      <c r="H149" s="1205"/>
      <c r="I149" s="1205"/>
      <c r="J149" s="1205"/>
      <c r="K149" s="1205"/>
      <c r="L149" s="1247"/>
      <c r="M149" s="1024"/>
      <c r="N149" s="1249"/>
      <c r="O149" s="1253"/>
      <c r="P149" s="1258"/>
      <c r="Q149" s="1258"/>
      <c r="R149" s="1258"/>
      <c r="S149" s="1258"/>
      <c r="T149" s="1249"/>
      <c r="U149" s="1249"/>
      <c r="V149" s="1250"/>
      <c r="W149" s="1250"/>
      <c r="X149" s="1263"/>
      <c r="Y149" s="1205"/>
    </row>
    <row r="150" spans="1:25">
      <c r="A150" s="3092">
        <v>4143</v>
      </c>
      <c r="B150" s="1173"/>
      <c r="C150" s="3092" t="s">
        <v>123</v>
      </c>
      <c r="D150" s="3095" t="s">
        <v>1640</v>
      </c>
      <c r="E150" s="1156" t="s">
        <v>1698</v>
      </c>
      <c r="F150" s="1192"/>
      <c r="G150" s="1192"/>
      <c r="H150" s="1108"/>
      <c r="I150" s="1192"/>
      <c r="J150" s="1192"/>
      <c r="K150" s="1218">
        <f>K151</f>
        <v>1</v>
      </c>
      <c r="L150" s="1233">
        <f>SUM(L151:L152)</f>
        <v>1</v>
      </c>
      <c r="M150" s="880"/>
      <c r="N150" s="1060">
        <f>SUM(N151:N152)</f>
        <v>0</v>
      </c>
      <c r="O150" s="3073">
        <f>IF(Q150=0,"na",N150)</f>
        <v>0</v>
      </c>
      <c r="P150" s="853">
        <f t="shared" ref="P150:S150" si="64">SUM(P151:P152)</f>
        <v>200000000</v>
      </c>
      <c r="Q150" s="853">
        <f t="shared" si="64"/>
        <v>200000000</v>
      </c>
      <c r="R150" s="853">
        <f t="shared" si="64"/>
        <v>0</v>
      </c>
      <c r="S150" s="853">
        <f t="shared" si="64"/>
        <v>0</v>
      </c>
      <c r="T150" s="1060">
        <f t="shared" ref="T150:U152" si="65">IF(Q150=0,0,R150/Q150)</f>
        <v>0</v>
      </c>
      <c r="U150" s="1060">
        <f t="shared" si="65"/>
        <v>0</v>
      </c>
      <c r="V150" s="1180"/>
      <c r="W150" s="1180"/>
      <c r="X150" s="878"/>
      <c r="Y150" s="3098" t="s">
        <v>1408</v>
      </c>
    </row>
    <row r="151" spans="1:25" ht="79.2">
      <c r="A151" s="3093"/>
      <c r="B151" s="1173"/>
      <c r="C151" s="3093"/>
      <c r="D151" s="3093"/>
      <c r="E151" s="1156" t="s">
        <v>1641</v>
      </c>
      <c r="F151" s="1192"/>
      <c r="G151" s="857" t="s">
        <v>1642</v>
      </c>
      <c r="H151" s="1028"/>
      <c r="I151" s="857" t="s">
        <v>1643</v>
      </c>
      <c r="J151" s="1193" t="s">
        <v>1644</v>
      </c>
      <c r="K151" s="1218">
        <v>1</v>
      </c>
      <c r="L151" s="1210">
        <v>0.5</v>
      </c>
      <c r="M151" s="880">
        <v>0</v>
      </c>
      <c r="N151" s="1060">
        <v>0</v>
      </c>
      <c r="O151" s="3096"/>
      <c r="P151" s="1081">
        <v>70351680</v>
      </c>
      <c r="Q151" s="1081">
        <v>70351680</v>
      </c>
      <c r="R151" s="1081">
        <v>0</v>
      </c>
      <c r="S151" s="1081">
        <v>0</v>
      </c>
      <c r="T151" s="1212">
        <f t="shared" si="65"/>
        <v>0</v>
      </c>
      <c r="U151" s="1212">
        <f t="shared" si="65"/>
        <v>0</v>
      </c>
      <c r="V151" s="1180"/>
      <c r="W151" s="1180"/>
      <c r="X151" s="1031"/>
      <c r="Y151" s="3093"/>
    </row>
    <row r="152" spans="1:25" ht="105.6">
      <c r="A152" s="3093"/>
      <c r="B152" s="1173"/>
      <c r="C152" s="3093"/>
      <c r="D152" s="3093"/>
      <c r="E152" s="1156" t="s">
        <v>1645</v>
      </c>
      <c r="F152" s="1192"/>
      <c r="G152" s="880"/>
      <c r="H152" s="880"/>
      <c r="I152" s="857" t="s">
        <v>1646</v>
      </c>
      <c r="J152" s="1193" t="s">
        <v>1647</v>
      </c>
      <c r="K152" s="1218">
        <v>1</v>
      </c>
      <c r="L152" s="1210">
        <v>0.5</v>
      </c>
      <c r="M152" s="880">
        <v>0</v>
      </c>
      <c r="N152" s="1060">
        <v>0</v>
      </c>
      <c r="O152" s="3096"/>
      <c r="P152" s="1081">
        <v>129648320</v>
      </c>
      <c r="Q152" s="1081">
        <v>129648320</v>
      </c>
      <c r="R152" s="1081">
        <v>0</v>
      </c>
      <c r="S152" s="1081">
        <v>0</v>
      </c>
      <c r="T152" s="1212">
        <f t="shared" si="65"/>
        <v>0</v>
      </c>
      <c r="U152" s="1212">
        <f t="shared" si="65"/>
        <v>0</v>
      </c>
      <c r="V152" s="1180"/>
      <c r="W152" s="1180"/>
      <c r="X152" s="878"/>
      <c r="Y152" s="3093"/>
    </row>
    <row r="153" spans="1:25" ht="15.6">
      <c r="A153" s="1156"/>
      <c r="B153" s="1163">
        <v>53</v>
      </c>
      <c r="C153" s="1163" t="s">
        <v>114</v>
      </c>
      <c r="D153" s="1157" t="s">
        <v>189</v>
      </c>
      <c r="E153" s="1173"/>
      <c r="F153" s="1173"/>
      <c r="G153" s="1173"/>
      <c r="H153" s="1173"/>
      <c r="I153" s="1173"/>
      <c r="J153" s="1173"/>
      <c r="K153" s="1173"/>
      <c r="L153" s="1201"/>
      <c r="M153" s="880"/>
      <c r="N153" s="1060"/>
      <c r="O153" s="1061"/>
      <c r="P153" s="1081"/>
      <c r="Q153" s="1081"/>
      <c r="R153" s="1081"/>
      <c r="S153" s="1081"/>
      <c r="T153" s="1060"/>
      <c r="U153" s="1060"/>
      <c r="V153" s="1180"/>
      <c r="W153" s="1180"/>
      <c r="X153" s="1195"/>
      <c r="Y153" s="1173"/>
    </row>
    <row r="154" spans="1:25" ht="15.6">
      <c r="A154" s="1156"/>
      <c r="B154" s="1163">
        <v>5301</v>
      </c>
      <c r="C154" s="1163" t="s">
        <v>115</v>
      </c>
      <c r="D154" s="1157" t="s">
        <v>262</v>
      </c>
      <c r="E154" s="1173"/>
      <c r="F154" s="1173"/>
      <c r="G154" s="1173"/>
      <c r="H154" s="1173"/>
      <c r="I154" s="1173"/>
      <c r="J154" s="1173"/>
      <c r="K154" s="1173"/>
      <c r="L154" s="1201"/>
      <c r="M154" s="880"/>
      <c r="N154" s="1060"/>
      <c r="O154" s="1061"/>
      <c r="P154" s="1081"/>
      <c r="Q154" s="1081"/>
      <c r="R154" s="1081"/>
      <c r="S154" s="1081"/>
      <c r="T154" s="1060"/>
      <c r="U154" s="1060"/>
      <c r="V154" s="1180"/>
      <c r="W154" s="1180"/>
      <c r="X154" s="878"/>
      <c r="Y154" s="1173"/>
    </row>
    <row r="155" spans="1:25">
      <c r="A155" s="1156"/>
      <c r="B155" s="1172">
        <v>5301004</v>
      </c>
      <c r="C155" s="1172" t="s">
        <v>116</v>
      </c>
      <c r="D155" s="1166" t="s">
        <v>1648</v>
      </c>
      <c r="E155" s="1173"/>
      <c r="F155" s="1173"/>
      <c r="G155" s="1173"/>
      <c r="H155" s="1173"/>
      <c r="I155" s="1173"/>
      <c r="J155" s="1173"/>
      <c r="K155" s="1173"/>
      <c r="L155" s="1201"/>
      <c r="M155" s="880"/>
      <c r="N155" s="1060"/>
      <c r="O155" s="1061"/>
      <c r="P155" s="1081"/>
      <c r="Q155" s="1081"/>
      <c r="R155" s="1081"/>
      <c r="S155" s="1081"/>
      <c r="T155" s="1060"/>
      <c r="U155" s="1060"/>
      <c r="V155" s="1180"/>
      <c r="W155" s="1180"/>
      <c r="X155" s="878"/>
      <c r="Y155" s="1173"/>
    </row>
    <row r="156" spans="1:25" s="46" customFormat="1" ht="41.4">
      <c r="A156" s="1216"/>
      <c r="B156" s="1216">
        <v>53010040005</v>
      </c>
      <c r="C156" s="1216" t="s">
        <v>117</v>
      </c>
      <c r="D156" s="1175" t="s">
        <v>1649</v>
      </c>
      <c r="E156" s="1205"/>
      <c r="F156" s="1216"/>
      <c r="G156" s="1205"/>
      <c r="H156" s="1205"/>
      <c r="I156" s="1205"/>
      <c r="J156" s="1205"/>
      <c r="K156" s="1205"/>
      <c r="L156" s="1247"/>
      <c r="M156" s="1024"/>
      <c r="N156" s="1249"/>
      <c r="O156" s="1253"/>
      <c r="P156" s="1258"/>
      <c r="Q156" s="1258"/>
      <c r="R156" s="1258"/>
      <c r="S156" s="1258"/>
      <c r="T156" s="1249"/>
      <c r="U156" s="1249"/>
      <c r="V156" s="1250"/>
      <c r="W156" s="1250"/>
      <c r="X156" s="1264"/>
      <c r="Y156" s="1205"/>
    </row>
    <row r="157" spans="1:25">
      <c r="A157" s="3092">
        <v>4143</v>
      </c>
      <c r="B157" s="1173"/>
      <c r="C157" s="3092" t="s">
        <v>123</v>
      </c>
      <c r="D157" s="3095" t="s">
        <v>1650</v>
      </c>
      <c r="E157" s="1156" t="s">
        <v>1699</v>
      </c>
      <c r="F157" s="1192"/>
      <c r="G157" s="1192"/>
      <c r="H157" s="1236"/>
      <c r="I157" s="1192"/>
      <c r="J157" s="1192"/>
      <c r="K157" s="1218">
        <f>K158</f>
        <v>13</v>
      </c>
      <c r="L157" s="1233">
        <f>SUM(L158:L159)</f>
        <v>1</v>
      </c>
      <c r="M157" s="880"/>
      <c r="N157" s="1060">
        <f>SUM(N158:N159)</f>
        <v>0</v>
      </c>
      <c r="O157" s="3073">
        <f>IF(Q157=0,"na",N157)</f>
        <v>0</v>
      </c>
      <c r="P157" s="853">
        <f t="shared" ref="P157:S157" si="66">SUM(P158:P159)</f>
        <v>282049856</v>
      </c>
      <c r="Q157" s="853">
        <f t="shared" si="66"/>
        <v>282049856</v>
      </c>
      <c r="R157" s="853">
        <f t="shared" si="66"/>
        <v>0</v>
      </c>
      <c r="S157" s="853">
        <f t="shared" si="66"/>
        <v>0</v>
      </c>
      <c r="T157" s="1060">
        <f t="shared" ref="T157:U159" si="67">IF(Q157=0,0,R157/Q157)</f>
        <v>0</v>
      </c>
      <c r="U157" s="1060">
        <f t="shared" si="67"/>
        <v>0</v>
      </c>
      <c r="V157" s="1180"/>
      <c r="W157" s="1180"/>
      <c r="X157" s="878"/>
      <c r="Y157" s="3098" t="s">
        <v>1651</v>
      </c>
    </row>
    <row r="158" spans="1:25" ht="52.8">
      <c r="A158" s="3093"/>
      <c r="B158" s="1173"/>
      <c r="C158" s="3093"/>
      <c r="D158" s="3093"/>
      <c r="E158" s="1156" t="s">
        <v>1652</v>
      </c>
      <c r="F158" s="1192"/>
      <c r="G158" s="1193" t="s">
        <v>1653</v>
      </c>
      <c r="H158" s="1156"/>
      <c r="I158" s="1193" t="s">
        <v>1654</v>
      </c>
      <c r="J158" s="1193" t="s">
        <v>1655</v>
      </c>
      <c r="K158" s="1218">
        <v>13</v>
      </c>
      <c r="L158" s="1210">
        <v>0.6</v>
      </c>
      <c r="M158" s="880">
        <v>0</v>
      </c>
      <c r="N158" s="1060">
        <v>0</v>
      </c>
      <c r="O158" s="3096"/>
      <c r="P158" s="1081">
        <v>150100000</v>
      </c>
      <c r="Q158" s="1081">
        <v>150100000</v>
      </c>
      <c r="R158" s="1081">
        <v>0</v>
      </c>
      <c r="S158" s="1081">
        <v>0</v>
      </c>
      <c r="T158" s="1212">
        <f t="shared" si="67"/>
        <v>0</v>
      </c>
      <c r="U158" s="1212">
        <f t="shared" si="67"/>
        <v>0</v>
      </c>
      <c r="V158" s="1180"/>
      <c r="W158" s="1180"/>
      <c r="X158" s="878"/>
      <c r="Y158" s="3093"/>
    </row>
    <row r="159" spans="1:25" ht="92.4">
      <c r="A159" s="3094"/>
      <c r="B159" s="1238"/>
      <c r="C159" s="3094"/>
      <c r="D159" s="3094"/>
      <c r="E159" s="1239" t="s">
        <v>1656</v>
      </c>
      <c r="F159" s="1240"/>
      <c r="G159" s="1240"/>
      <c r="H159" s="1240"/>
      <c r="I159" s="1241" t="s">
        <v>1657</v>
      </c>
      <c r="J159" s="1241" t="s">
        <v>1658</v>
      </c>
      <c r="K159" s="1242">
        <v>15</v>
      </c>
      <c r="L159" s="1243">
        <v>0.4</v>
      </c>
      <c r="M159" s="1041">
        <v>0</v>
      </c>
      <c r="N159" s="1062">
        <v>0</v>
      </c>
      <c r="O159" s="3097"/>
      <c r="P159" s="1129">
        <v>131949856</v>
      </c>
      <c r="Q159" s="1129">
        <v>131949856</v>
      </c>
      <c r="R159" s="1129">
        <v>0</v>
      </c>
      <c r="S159" s="1129">
        <v>0</v>
      </c>
      <c r="T159" s="1244">
        <f t="shared" si="67"/>
        <v>0</v>
      </c>
      <c r="U159" s="1244">
        <f t="shared" si="67"/>
        <v>0</v>
      </c>
      <c r="V159" s="1245"/>
      <c r="W159" s="1245"/>
      <c r="X159" s="1196"/>
      <c r="Y159" s="3094"/>
    </row>
    <row r="160" spans="1:25">
      <c r="A160" s="1140"/>
      <c r="B160" s="1141"/>
      <c r="C160" s="1141"/>
      <c r="D160" s="1141"/>
      <c r="E160" s="1141"/>
      <c r="F160" s="1141"/>
      <c r="G160" s="1141"/>
      <c r="H160" s="1141"/>
      <c r="I160" s="1141"/>
      <c r="J160" s="1141"/>
      <c r="K160" s="1141"/>
      <c r="L160" s="1141"/>
      <c r="M160" s="1142"/>
      <c r="N160" s="1143"/>
      <c r="O160" s="1144"/>
      <c r="P160" s="1144"/>
      <c r="Q160" s="1144"/>
      <c r="R160" s="1144"/>
      <c r="S160" s="1144"/>
      <c r="T160" s="1143"/>
      <c r="U160" s="1143"/>
      <c r="V160" s="1145"/>
      <c r="W160" s="1146"/>
      <c r="X160" s="1147"/>
      <c r="Y160" s="1141"/>
    </row>
    <row r="161" spans="1:25" s="46" customFormat="1">
      <c r="A161" s="1265"/>
      <c r="B161" s="1265" t="s">
        <v>50</v>
      </c>
      <c r="C161" s="1265">
        <f>COUNTIF(C7:C159,"pr")</f>
        <v>46</v>
      </c>
      <c r="D161" s="1266"/>
      <c r="E161" s="1267" t="s">
        <v>1659</v>
      </c>
      <c r="F161" s="1267"/>
      <c r="G161" s="1268">
        <f>COUNTIF(O11:O159,"na")</f>
        <v>0</v>
      </c>
      <c r="H161" s="1267"/>
      <c r="I161" s="1269"/>
      <c r="J161" s="1269"/>
      <c r="K161" s="1266"/>
      <c r="L161" s="1265"/>
      <c r="M161" s="1267"/>
      <c r="N161" s="1270" t="s">
        <v>561</v>
      </c>
      <c r="O161" s="1271">
        <f>AVERAGE(O11:O159)</f>
        <v>4.8228432173913045E-2</v>
      </c>
      <c r="P161" s="1277">
        <f>SUMIF($C$7:$C$160,"pr",P7:P160)</f>
        <v>1094649843906</v>
      </c>
      <c r="Q161" s="1277">
        <f>SUMIF($C$7:$C$160,"pr",Q7:Q160)</f>
        <v>1094649843906</v>
      </c>
      <c r="R161" s="1272">
        <f>SUMIF($C$7:$C$160,"pr",R7:R160)</f>
        <v>414718570934</v>
      </c>
      <c r="S161" s="1272">
        <f>SUMIF($C$7:$C$160,"pr",S7:S160)</f>
        <v>166847858873</v>
      </c>
      <c r="T161" s="1273">
        <f t="shared" ref="T161:U161" si="68">IF(Q161=0,0,R161/Q161)</f>
        <v>0.37885957161805689</v>
      </c>
      <c r="U161" s="1273">
        <f t="shared" si="68"/>
        <v>0.40231586084326293</v>
      </c>
      <c r="V161" s="1265"/>
      <c r="W161" s="1267"/>
      <c r="X161" s="1269"/>
      <c r="Y161" s="1274"/>
    </row>
    <row r="162" spans="1:25" s="46" customFormat="1">
      <c r="A162" s="1265"/>
      <c r="B162" s="1265"/>
      <c r="C162" s="1265"/>
      <c r="D162" s="1269"/>
      <c r="E162" s="1266"/>
      <c r="F162" s="1265"/>
      <c r="G162" s="1269"/>
      <c r="H162" s="1267"/>
      <c r="I162" s="1269"/>
      <c r="J162" s="1269"/>
      <c r="K162" s="1266"/>
      <c r="L162" s="1265"/>
      <c r="M162" s="1267"/>
      <c r="N162" s="1275" t="s">
        <v>133</v>
      </c>
      <c r="O162" s="1265">
        <f>COUNTIF(O11:O159,0%)</f>
        <v>35</v>
      </c>
      <c r="P162" s="1277">
        <v>1094649843906</v>
      </c>
      <c r="Q162" s="1277">
        <v>1094649843906</v>
      </c>
      <c r="R162" s="1272">
        <v>414718570934</v>
      </c>
      <c r="S162" s="1272">
        <v>166847858873</v>
      </c>
      <c r="T162" s="1276"/>
      <c r="U162" s="1276"/>
      <c r="V162" s="1265"/>
      <c r="W162" s="1267"/>
      <c r="X162" s="1269"/>
      <c r="Y162" s="1274"/>
    </row>
    <row r="163" spans="1:25">
      <c r="A163" s="1133"/>
      <c r="B163" s="1136"/>
      <c r="C163" s="1134"/>
      <c r="D163" s="1135"/>
      <c r="E163" s="1136"/>
      <c r="F163" s="1136"/>
      <c r="G163" s="1136"/>
      <c r="H163" s="1136"/>
      <c r="I163" s="1139"/>
      <c r="J163" s="1134"/>
      <c r="K163" s="1135"/>
      <c r="L163" s="1135"/>
      <c r="M163" s="1135"/>
      <c r="N163" s="1138"/>
      <c r="O163" s="1134"/>
      <c r="P163" s="1137"/>
      <c r="Q163" s="1137"/>
      <c r="R163" s="1137"/>
      <c r="S163" s="1137"/>
      <c r="T163" s="1136"/>
      <c r="U163" s="1136"/>
      <c r="V163" s="1134"/>
      <c r="W163" s="1136"/>
      <c r="X163" s="1136"/>
      <c r="Y163" s="1139"/>
    </row>
  </sheetData>
  <autoFilter ref="A5:Y159" xr:uid="{00000000-0009-0000-0000-00000C000000}"/>
  <mergeCells count="262">
    <mergeCell ref="A1:X1"/>
    <mergeCell ref="A4:Y4"/>
    <mergeCell ref="V3:W3"/>
    <mergeCell ref="A2:Y2"/>
    <mergeCell ref="S3:U3"/>
    <mergeCell ref="A3:B3"/>
    <mergeCell ref="C3:R3"/>
    <mergeCell ref="X5:X6"/>
    <mergeCell ref="Y5:Y6"/>
    <mergeCell ref="S5:S6"/>
    <mergeCell ref="T5:T6"/>
    <mergeCell ref="U5:U6"/>
    <mergeCell ref="V5:V6"/>
    <mergeCell ref="W5:W6"/>
    <mergeCell ref="F5:F6"/>
    <mergeCell ref="G5:G6"/>
    <mergeCell ref="Q5:Q6"/>
    <mergeCell ref="R5:R6"/>
    <mergeCell ref="H5:H6"/>
    <mergeCell ref="I5:I6"/>
    <mergeCell ref="J5:J6"/>
    <mergeCell ref="K5:K6"/>
    <mergeCell ref="L5:L6"/>
    <mergeCell ref="M5:M6"/>
    <mergeCell ref="N5:N6"/>
    <mergeCell ref="O5:O6"/>
    <mergeCell ref="P5:P6"/>
    <mergeCell ref="A17:A19"/>
    <mergeCell ref="C17:C19"/>
    <mergeCell ref="D17:D19"/>
    <mergeCell ref="O17:O19"/>
    <mergeCell ref="A5:A6"/>
    <mergeCell ref="B5:B6"/>
    <mergeCell ref="C5:C6"/>
    <mergeCell ref="D5:D6"/>
    <mergeCell ref="E5:E6"/>
    <mergeCell ref="Y17:Y19"/>
    <mergeCell ref="A11:A12"/>
    <mergeCell ref="C11:C12"/>
    <mergeCell ref="D11:D12"/>
    <mergeCell ref="O11:O12"/>
    <mergeCell ref="Y11:Y12"/>
    <mergeCell ref="A26:A29"/>
    <mergeCell ref="C26:C29"/>
    <mergeCell ref="D26:D29"/>
    <mergeCell ref="O26:O29"/>
    <mergeCell ref="Y26:Y29"/>
    <mergeCell ref="A22:A23"/>
    <mergeCell ref="C22:C23"/>
    <mergeCell ref="D22:D23"/>
    <mergeCell ref="O22:O23"/>
    <mergeCell ref="Y22:Y23"/>
    <mergeCell ref="A40:A41"/>
    <mergeCell ref="C40:C41"/>
    <mergeCell ref="D40:D41"/>
    <mergeCell ref="O40:O41"/>
    <mergeCell ref="Y40:Y41"/>
    <mergeCell ref="A33:A36"/>
    <mergeCell ref="C33:C36"/>
    <mergeCell ref="D33:D36"/>
    <mergeCell ref="O33:O36"/>
    <mergeCell ref="Y33:Y36"/>
    <mergeCell ref="A44:A45"/>
    <mergeCell ref="C44:C45"/>
    <mergeCell ref="D44:D45"/>
    <mergeCell ref="O44:O45"/>
    <mergeCell ref="Y44:Y45"/>
    <mergeCell ref="A42:A43"/>
    <mergeCell ref="C42:C43"/>
    <mergeCell ref="D42:D43"/>
    <mergeCell ref="O42:O43"/>
    <mergeCell ref="Y42:Y43"/>
    <mergeCell ref="A48:A49"/>
    <mergeCell ref="C48:C49"/>
    <mergeCell ref="D48:D49"/>
    <mergeCell ref="O48:O49"/>
    <mergeCell ref="Y48:Y49"/>
    <mergeCell ref="A46:A47"/>
    <mergeCell ref="C46:C47"/>
    <mergeCell ref="D46:D47"/>
    <mergeCell ref="O46:O47"/>
    <mergeCell ref="Y46:Y47"/>
    <mergeCell ref="A52:A53"/>
    <mergeCell ref="C52:C53"/>
    <mergeCell ref="D52:D53"/>
    <mergeCell ref="O52:O53"/>
    <mergeCell ref="Y52:Y53"/>
    <mergeCell ref="A50:A51"/>
    <mergeCell ref="C50:C51"/>
    <mergeCell ref="D50:D51"/>
    <mergeCell ref="O50:O51"/>
    <mergeCell ref="Y50:Y51"/>
    <mergeCell ref="A56:A57"/>
    <mergeCell ref="C56:C57"/>
    <mergeCell ref="D56:D57"/>
    <mergeCell ref="O56:O57"/>
    <mergeCell ref="Y56:Y57"/>
    <mergeCell ref="A54:A55"/>
    <mergeCell ref="C54:C55"/>
    <mergeCell ref="D54:D55"/>
    <mergeCell ref="O54:O55"/>
    <mergeCell ref="Y54:Y55"/>
    <mergeCell ref="A60:A61"/>
    <mergeCell ref="C60:C61"/>
    <mergeCell ref="D60:D61"/>
    <mergeCell ref="O60:O61"/>
    <mergeCell ref="Y60:Y61"/>
    <mergeCell ref="A58:A59"/>
    <mergeCell ref="C58:C59"/>
    <mergeCell ref="D58:D59"/>
    <mergeCell ref="O58:O59"/>
    <mergeCell ref="Y58:Y59"/>
    <mergeCell ref="A64:A65"/>
    <mergeCell ref="C64:C65"/>
    <mergeCell ref="D64:D65"/>
    <mergeCell ref="O64:O65"/>
    <mergeCell ref="Y64:Y65"/>
    <mergeCell ref="A62:A63"/>
    <mergeCell ref="C62:C63"/>
    <mergeCell ref="D62:D63"/>
    <mergeCell ref="O62:O63"/>
    <mergeCell ref="Y62:Y63"/>
    <mergeCell ref="A71:A72"/>
    <mergeCell ref="C71:C72"/>
    <mergeCell ref="D71:D72"/>
    <mergeCell ref="O71:O72"/>
    <mergeCell ref="Y71:Y72"/>
    <mergeCell ref="A66:A67"/>
    <mergeCell ref="C66:C67"/>
    <mergeCell ref="D66:D67"/>
    <mergeCell ref="O66:O67"/>
    <mergeCell ref="Y66:Y67"/>
    <mergeCell ref="A77:A78"/>
    <mergeCell ref="C77:C78"/>
    <mergeCell ref="D77:D78"/>
    <mergeCell ref="O77:O78"/>
    <mergeCell ref="Y77:Y78"/>
    <mergeCell ref="C74:C76"/>
    <mergeCell ref="D74:D76"/>
    <mergeCell ref="O74:O76"/>
    <mergeCell ref="Y74:Y76"/>
    <mergeCell ref="A75:A76"/>
    <mergeCell ref="A82:A83"/>
    <mergeCell ref="C82:C83"/>
    <mergeCell ref="D82:D83"/>
    <mergeCell ref="O82:O83"/>
    <mergeCell ref="Y82:Y83"/>
    <mergeCell ref="A79:A81"/>
    <mergeCell ref="C79:C81"/>
    <mergeCell ref="D79:D81"/>
    <mergeCell ref="O79:O81"/>
    <mergeCell ref="Y79:Y80"/>
    <mergeCell ref="A86:A87"/>
    <mergeCell ref="C86:C87"/>
    <mergeCell ref="D86:D87"/>
    <mergeCell ref="O86:O87"/>
    <mergeCell ref="Y86:Y87"/>
    <mergeCell ref="A84:A85"/>
    <mergeCell ref="C84:C85"/>
    <mergeCell ref="D84:D85"/>
    <mergeCell ref="O84:O85"/>
    <mergeCell ref="Y84:Y85"/>
    <mergeCell ref="A91:A93"/>
    <mergeCell ref="C91:C93"/>
    <mergeCell ref="D91:D93"/>
    <mergeCell ref="O91:O93"/>
    <mergeCell ref="Y91:Y93"/>
    <mergeCell ref="A88:A89"/>
    <mergeCell ref="C88:C89"/>
    <mergeCell ref="D88:D89"/>
    <mergeCell ref="O88:O89"/>
    <mergeCell ref="Y88:Y89"/>
    <mergeCell ref="A97:A98"/>
    <mergeCell ref="C97:C98"/>
    <mergeCell ref="D97:D98"/>
    <mergeCell ref="O97:O98"/>
    <mergeCell ref="Y97:Y98"/>
    <mergeCell ref="A95:A96"/>
    <mergeCell ref="C95:C96"/>
    <mergeCell ref="D95:D96"/>
    <mergeCell ref="O95:O96"/>
    <mergeCell ref="Y95:Y96"/>
    <mergeCell ref="A101:A102"/>
    <mergeCell ref="C101:C102"/>
    <mergeCell ref="D101:D102"/>
    <mergeCell ref="O101:O102"/>
    <mergeCell ref="Y101:Y102"/>
    <mergeCell ref="A99:A100"/>
    <mergeCell ref="C99:C100"/>
    <mergeCell ref="D99:D100"/>
    <mergeCell ref="O99:O100"/>
    <mergeCell ref="Y99:Y100"/>
    <mergeCell ref="A105:A106"/>
    <mergeCell ref="C105:C106"/>
    <mergeCell ref="D105:D106"/>
    <mergeCell ref="O105:O106"/>
    <mergeCell ref="Y105:Y106"/>
    <mergeCell ref="A103:A104"/>
    <mergeCell ref="C103:C104"/>
    <mergeCell ref="D103:D104"/>
    <mergeCell ref="O103:O104"/>
    <mergeCell ref="Y103:Y104"/>
    <mergeCell ref="A109:A110"/>
    <mergeCell ref="C109:C110"/>
    <mergeCell ref="D109:D110"/>
    <mergeCell ref="O109:O110"/>
    <mergeCell ref="Y109:Y110"/>
    <mergeCell ref="A107:A108"/>
    <mergeCell ref="C107:C108"/>
    <mergeCell ref="D107:D108"/>
    <mergeCell ref="O107:O108"/>
    <mergeCell ref="Y107:Y108"/>
    <mergeCell ref="A117:A118"/>
    <mergeCell ref="C117:C118"/>
    <mergeCell ref="D117:D118"/>
    <mergeCell ref="O117:O118"/>
    <mergeCell ref="Y117:Y118"/>
    <mergeCell ref="A112:A114"/>
    <mergeCell ref="C112:C114"/>
    <mergeCell ref="D112:D114"/>
    <mergeCell ref="O112:O114"/>
    <mergeCell ref="Y112:Y114"/>
    <mergeCell ref="A123:A126"/>
    <mergeCell ref="C123:C126"/>
    <mergeCell ref="D123:D126"/>
    <mergeCell ref="O123:O126"/>
    <mergeCell ref="Y123:Y126"/>
    <mergeCell ref="A119:A120"/>
    <mergeCell ref="C119:C120"/>
    <mergeCell ref="D119:D120"/>
    <mergeCell ref="O119:O120"/>
    <mergeCell ref="Y119:Y120"/>
    <mergeCell ref="A133:A136"/>
    <mergeCell ref="C133:C136"/>
    <mergeCell ref="D133:D136"/>
    <mergeCell ref="O133:O136"/>
    <mergeCell ref="Y133:Y136"/>
    <mergeCell ref="A129:A131"/>
    <mergeCell ref="C129:C131"/>
    <mergeCell ref="D129:D131"/>
    <mergeCell ref="O129:O131"/>
    <mergeCell ref="Y129:Y131"/>
    <mergeCell ref="A146:A148"/>
    <mergeCell ref="C146:C148"/>
    <mergeCell ref="D146:D148"/>
    <mergeCell ref="O146:O148"/>
    <mergeCell ref="Y146:Y148"/>
    <mergeCell ref="A139:A144"/>
    <mergeCell ref="C139:C144"/>
    <mergeCell ref="D139:D144"/>
    <mergeCell ref="O139:O144"/>
    <mergeCell ref="Y139:Y144"/>
    <mergeCell ref="A157:A159"/>
    <mergeCell ref="C157:C159"/>
    <mergeCell ref="D157:D159"/>
    <mergeCell ref="O157:O159"/>
    <mergeCell ref="Y157:Y159"/>
    <mergeCell ref="A150:A152"/>
    <mergeCell ref="C150:C152"/>
    <mergeCell ref="D150:D152"/>
    <mergeCell ref="O150:O152"/>
    <mergeCell ref="Y150:Y152"/>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224"/>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2"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19" width="13.6640625" style="3" customWidth="1"/>
    <col min="20" max="21" width="12.6640625" style="3" customWidth="1"/>
    <col min="22" max="23" width="10.6640625" style="3" customWidth="1"/>
    <col min="24" max="24" width="34" style="3" customWidth="1"/>
    <col min="25" max="25" width="17.109375" style="17" customWidth="1"/>
    <col min="26" max="26" width="13.88671875" style="3" bestFit="1" customWidth="1"/>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ht="25.5" customHeight="1">
      <c r="A2" s="3018"/>
      <c r="B2" s="3019"/>
      <c r="C2" s="3019"/>
      <c r="D2" s="3019"/>
      <c r="E2" s="3019"/>
      <c r="F2" s="3019"/>
      <c r="G2" s="3019"/>
      <c r="H2" s="3019"/>
      <c r="I2" s="3019"/>
      <c r="J2" s="3019"/>
      <c r="K2" s="3019"/>
      <c r="L2" s="3019"/>
      <c r="M2" s="3019"/>
      <c r="N2" s="3019"/>
      <c r="O2" s="3019"/>
      <c r="P2" s="3019"/>
      <c r="Q2" s="3019"/>
      <c r="R2" s="3019"/>
      <c r="S2" s="3019"/>
      <c r="T2" s="3019"/>
      <c r="U2" s="3019"/>
      <c r="V2" s="3019"/>
      <c r="W2" s="3019"/>
      <c r="X2" s="3019"/>
      <c r="Y2" s="3020"/>
    </row>
    <row r="3" spans="1:25" s="27" customFormat="1" ht="24.9" customHeight="1">
      <c r="A3" s="3021" t="s">
        <v>87</v>
      </c>
      <c r="B3" s="3021"/>
      <c r="C3" s="3021" t="s">
        <v>55</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3">
        <v>2024</v>
      </c>
    </row>
    <row r="4" spans="1:25" ht="25.5" customHeight="1">
      <c r="A4" s="3013"/>
      <c r="B4" s="3013"/>
      <c r="C4" s="3013"/>
      <c r="D4" s="3013"/>
      <c r="E4" s="3013"/>
      <c r="F4" s="3013"/>
      <c r="G4" s="3013"/>
      <c r="H4" s="3013"/>
      <c r="I4" s="3013"/>
      <c r="J4" s="3013"/>
      <c r="K4" s="3013"/>
      <c r="L4" s="3013"/>
      <c r="M4" s="3013"/>
      <c r="N4" s="3013"/>
      <c r="O4" s="3013"/>
      <c r="P4" s="3013"/>
      <c r="Q4" s="3013"/>
      <c r="R4" s="3013"/>
      <c r="S4" s="3013"/>
      <c r="T4" s="3013"/>
      <c r="U4" s="3013"/>
      <c r="V4" s="3013"/>
      <c r="W4" s="3013"/>
      <c r="X4" s="3013"/>
      <c r="Y4" s="3013"/>
    </row>
    <row r="5" spans="1:25" s="118" customFormat="1" ht="53.25" customHeight="1">
      <c r="A5" s="3127" t="s">
        <v>88</v>
      </c>
      <c r="B5" s="3127" t="s">
        <v>4</v>
      </c>
      <c r="C5" s="3127" t="s">
        <v>3</v>
      </c>
      <c r="D5" s="3127" t="s">
        <v>108</v>
      </c>
      <c r="E5" s="3127" t="s">
        <v>2</v>
      </c>
      <c r="F5" s="3127" t="s">
        <v>89</v>
      </c>
      <c r="G5" s="3127" t="s">
        <v>106</v>
      </c>
      <c r="H5" s="3127" t="s">
        <v>107</v>
      </c>
      <c r="I5" s="3127" t="s">
        <v>8</v>
      </c>
      <c r="J5" s="3127" t="s">
        <v>9</v>
      </c>
      <c r="K5" s="3127" t="s">
        <v>10</v>
      </c>
      <c r="L5" s="3127" t="s">
        <v>11</v>
      </c>
      <c r="M5" s="3129" t="s">
        <v>100</v>
      </c>
      <c r="N5" s="3129" t="s">
        <v>12</v>
      </c>
      <c r="O5" s="3129" t="s">
        <v>86</v>
      </c>
      <c r="P5" s="3128" t="s">
        <v>1</v>
      </c>
      <c r="Q5" s="3129" t="s">
        <v>13</v>
      </c>
      <c r="R5" s="3129" t="s">
        <v>14</v>
      </c>
      <c r="S5" s="3129" t="s">
        <v>16</v>
      </c>
      <c r="T5" s="3129" t="s">
        <v>15</v>
      </c>
      <c r="U5" s="3129" t="s">
        <v>103</v>
      </c>
      <c r="V5" s="3128" t="s">
        <v>6</v>
      </c>
      <c r="W5" s="3128" t="s">
        <v>7</v>
      </c>
      <c r="X5" s="3129" t="s">
        <v>0</v>
      </c>
      <c r="Y5" s="3130" t="s">
        <v>90</v>
      </c>
    </row>
    <row r="6" spans="1:25" s="118" customFormat="1" ht="42.75" customHeight="1">
      <c r="A6" s="3127"/>
      <c r="B6" s="3127"/>
      <c r="C6" s="3127"/>
      <c r="D6" s="3127"/>
      <c r="E6" s="3127"/>
      <c r="F6" s="3127"/>
      <c r="G6" s="3127"/>
      <c r="H6" s="3127"/>
      <c r="I6" s="3127"/>
      <c r="J6" s="3127"/>
      <c r="K6" s="3127"/>
      <c r="L6" s="3127"/>
      <c r="M6" s="3129"/>
      <c r="N6" s="3129"/>
      <c r="O6" s="3129"/>
      <c r="P6" s="3128"/>
      <c r="Q6" s="3129"/>
      <c r="R6" s="3129"/>
      <c r="S6" s="3129"/>
      <c r="T6" s="3129"/>
      <c r="U6" s="3129"/>
      <c r="V6" s="3128"/>
      <c r="W6" s="3128"/>
      <c r="X6" s="3129"/>
      <c r="Y6" s="3130"/>
    </row>
    <row r="7" spans="1:25" ht="15.6">
      <c r="A7" s="1401"/>
      <c r="B7" s="1401">
        <v>51</v>
      </c>
      <c r="C7" s="1401" t="s">
        <v>114</v>
      </c>
      <c r="D7" s="1402" t="s">
        <v>1351</v>
      </c>
      <c r="E7" s="1401"/>
      <c r="F7" s="1401"/>
      <c r="G7" s="1403"/>
      <c r="H7" s="1401"/>
      <c r="I7" s="1401"/>
      <c r="J7" s="1401"/>
      <c r="K7" s="1404"/>
      <c r="L7" s="1401"/>
      <c r="M7" s="1278"/>
      <c r="N7" s="1279"/>
      <c r="O7" s="1279"/>
      <c r="P7" s="1401"/>
      <c r="Q7" s="1280"/>
      <c r="R7" s="1280"/>
      <c r="S7" s="1280"/>
      <c r="T7" s="1281"/>
      <c r="U7" s="1281"/>
      <c r="V7" s="1401"/>
      <c r="W7" s="1401"/>
      <c r="X7" s="1282"/>
      <c r="Y7" s="1401"/>
    </row>
    <row r="8" spans="1:25" ht="15.6">
      <c r="A8" s="1405"/>
      <c r="B8" s="1406">
        <v>5101</v>
      </c>
      <c r="C8" s="1406" t="s">
        <v>115</v>
      </c>
      <c r="D8" s="1407" t="s">
        <v>1700</v>
      </c>
      <c r="E8" s="1405"/>
      <c r="F8" s="1405"/>
      <c r="G8" s="1408"/>
      <c r="H8" s="1405"/>
      <c r="I8" s="1405"/>
      <c r="J8" s="1405"/>
      <c r="K8" s="1409"/>
      <c r="L8" s="1405"/>
      <c r="M8" s="1283"/>
      <c r="N8" s="1284"/>
      <c r="O8" s="1284"/>
      <c r="P8" s="1405"/>
      <c r="Q8" s="1285"/>
      <c r="R8" s="1285"/>
      <c r="S8" s="1285"/>
      <c r="T8" s="1286"/>
      <c r="U8" s="1286"/>
      <c r="V8" s="1405"/>
      <c r="W8" s="1405"/>
      <c r="X8" s="1287"/>
      <c r="Y8" s="1405"/>
    </row>
    <row r="9" spans="1:25">
      <c r="A9" s="1405"/>
      <c r="B9" s="1405">
        <v>5101001</v>
      </c>
      <c r="C9" s="1405" t="s">
        <v>116</v>
      </c>
      <c r="D9" s="1410" t="s">
        <v>1701</v>
      </c>
      <c r="E9" s="1405"/>
      <c r="F9" s="1405"/>
      <c r="G9" s="1408"/>
      <c r="H9" s="1405"/>
      <c r="I9" s="1405"/>
      <c r="J9" s="1405"/>
      <c r="K9" s="1409"/>
      <c r="L9" s="1405"/>
      <c r="M9" s="1288"/>
      <c r="N9" s="1289"/>
      <c r="O9" s="1289"/>
      <c r="P9" s="1405"/>
      <c r="Q9" s="1290"/>
      <c r="R9" s="1290"/>
      <c r="S9" s="1290"/>
      <c r="T9" s="1291"/>
      <c r="U9" s="1291"/>
      <c r="V9" s="1405"/>
      <c r="W9" s="1405"/>
      <c r="X9" s="1287"/>
      <c r="Y9" s="1405"/>
    </row>
    <row r="10" spans="1:25">
      <c r="A10" s="1405"/>
      <c r="B10" s="1411">
        <v>51010010005</v>
      </c>
      <c r="C10" s="1411" t="s">
        <v>117</v>
      </c>
      <c r="D10" s="1412" t="s">
        <v>1702</v>
      </c>
      <c r="E10" s="1405"/>
      <c r="F10" s="1413"/>
      <c r="G10" s="1408"/>
      <c r="H10" s="1405"/>
      <c r="I10" s="1405"/>
      <c r="J10" s="1405"/>
      <c r="K10" s="1410"/>
      <c r="L10" s="1405"/>
      <c r="M10" s="1292"/>
      <c r="N10" s="1293"/>
      <c r="O10" s="1293"/>
      <c r="P10" s="1405"/>
      <c r="Q10" s="1294"/>
      <c r="R10" s="1294"/>
      <c r="S10" s="1294"/>
      <c r="T10" s="1295"/>
      <c r="U10" s="1295"/>
      <c r="V10" s="1405"/>
      <c r="W10" s="1405"/>
      <c r="X10" s="1287"/>
      <c r="Y10" s="1405"/>
    </row>
    <row r="11" spans="1:25">
      <c r="A11" s="3107">
        <v>4145</v>
      </c>
      <c r="B11" s="3107"/>
      <c r="C11" s="3107" t="s">
        <v>123</v>
      </c>
      <c r="D11" s="3111" t="s">
        <v>1703</v>
      </c>
      <c r="E11" s="1415" t="s">
        <v>1704</v>
      </c>
      <c r="F11" s="1408"/>
      <c r="G11" s="1408"/>
      <c r="H11" s="1416"/>
      <c r="I11" s="1408"/>
      <c r="J11" s="1408"/>
      <c r="K11" s="1417">
        <f>+K12</f>
        <v>0</v>
      </c>
      <c r="L11" s="1418">
        <f>SUM(L12)</f>
        <v>0</v>
      </c>
      <c r="M11" s="1296"/>
      <c r="N11" s="1297">
        <f>SUM(N12:N12)</f>
        <v>0</v>
      </c>
      <c r="O11" s="3126">
        <f>IF(Q11&gt;0,N11,"na")</f>
        <v>0</v>
      </c>
      <c r="P11" s="1417">
        <f>+P12</f>
        <v>405000000</v>
      </c>
      <c r="Q11" s="1298">
        <f>SUM(Q12:Q12)</f>
        <v>405000000</v>
      </c>
      <c r="R11" s="1298">
        <f>SUM(R12:R12)</f>
        <v>0</v>
      </c>
      <c r="S11" s="1298">
        <f>SUM(S12:S12)</f>
        <v>0</v>
      </c>
      <c r="T11" s="1299">
        <f t="shared" ref="T11:U12" si="0">IF(Q11=0,0,R11/Q11)</f>
        <v>0</v>
      </c>
      <c r="U11" s="1299">
        <f t="shared" si="0"/>
        <v>0</v>
      </c>
      <c r="V11" s="1419"/>
      <c r="W11" s="1419"/>
      <c r="X11" s="1300"/>
      <c r="Y11" s="1408"/>
    </row>
    <row r="12" spans="1:25" ht="66">
      <c r="A12" s="3107"/>
      <c r="B12" s="3107"/>
      <c r="C12" s="3107"/>
      <c r="D12" s="3111"/>
      <c r="E12" s="1415" t="s">
        <v>1705</v>
      </c>
      <c r="F12" s="1408"/>
      <c r="G12" s="1415" t="s">
        <v>1706</v>
      </c>
      <c r="H12" s="1416"/>
      <c r="I12" s="1415" t="s">
        <v>1707</v>
      </c>
      <c r="J12" s="1415" t="s">
        <v>139</v>
      </c>
      <c r="K12" s="1417">
        <v>0</v>
      </c>
      <c r="L12" s="1418">
        <v>0</v>
      </c>
      <c r="M12" s="1301">
        <v>0</v>
      </c>
      <c r="N12" s="1297">
        <v>0</v>
      </c>
      <c r="O12" s="3126"/>
      <c r="P12" s="1417">
        <v>405000000</v>
      </c>
      <c r="Q12" s="1298">
        <v>405000000</v>
      </c>
      <c r="R12" s="1302">
        <v>0</v>
      </c>
      <c r="S12" s="1302">
        <v>0</v>
      </c>
      <c r="T12" s="1299">
        <f t="shared" si="0"/>
        <v>0</v>
      </c>
      <c r="U12" s="1299">
        <f t="shared" si="0"/>
        <v>0</v>
      </c>
      <c r="V12" s="1415"/>
      <c r="W12" s="1415"/>
      <c r="X12" s="1303"/>
      <c r="Y12" s="1408" t="s">
        <v>1708</v>
      </c>
    </row>
    <row r="13" spans="1:25" ht="15.6">
      <c r="A13" s="1408"/>
      <c r="B13" s="1420">
        <v>52</v>
      </c>
      <c r="C13" s="1420" t="s">
        <v>114</v>
      </c>
      <c r="D13" s="1421" t="s">
        <v>1709</v>
      </c>
      <c r="E13" s="1415"/>
      <c r="F13" s="1422"/>
      <c r="G13" s="1423"/>
      <c r="H13" s="1423"/>
      <c r="I13" s="1423"/>
      <c r="J13" s="1423"/>
      <c r="K13" s="1423"/>
      <c r="L13" s="1423"/>
      <c r="M13" s="1283"/>
      <c r="N13" s="1284"/>
      <c r="O13" s="1284"/>
      <c r="P13" s="1424"/>
      <c r="Q13" s="1285"/>
      <c r="R13" s="1285"/>
      <c r="S13" s="1285"/>
      <c r="T13" s="1304"/>
      <c r="U13" s="1304"/>
      <c r="V13" s="1415"/>
      <c r="W13" s="1415"/>
      <c r="X13" s="1303"/>
      <c r="Y13" s="1425"/>
    </row>
    <row r="14" spans="1:25" ht="15.6">
      <c r="A14" s="1425"/>
      <c r="B14" s="1420">
        <v>5201</v>
      </c>
      <c r="C14" s="1420" t="s">
        <v>115</v>
      </c>
      <c r="D14" s="1407" t="s">
        <v>1710</v>
      </c>
      <c r="E14" s="1415"/>
      <c r="F14" s="1422"/>
      <c r="G14" s="1423"/>
      <c r="H14" s="1423"/>
      <c r="I14" s="1423"/>
      <c r="J14" s="1423"/>
      <c r="K14" s="1423"/>
      <c r="L14" s="1423"/>
      <c r="M14" s="1283"/>
      <c r="N14" s="1284"/>
      <c r="O14" s="1284"/>
      <c r="P14" s="1424"/>
      <c r="Q14" s="1285"/>
      <c r="R14" s="1285"/>
      <c r="S14" s="1285"/>
      <c r="T14" s="1304"/>
      <c r="U14" s="1304"/>
      <c r="V14" s="1415"/>
      <c r="W14" s="1415"/>
      <c r="X14" s="1303"/>
      <c r="Y14" s="1425"/>
    </row>
    <row r="15" spans="1:25">
      <c r="A15" s="1425"/>
      <c r="B15" s="1426">
        <v>5201002</v>
      </c>
      <c r="C15" s="1426" t="s">
        <v>116</v>
      </c>
      <c r="D15" s="1410" t="s">
        <v>1711</v>
      </c>
      <c r="E15" s="1427"/>
      <c r="F15" s="1411"/>
      <c r="G15" s="1415"/>
      <c r="H15" s="1415"/>
      <c r="I15" s="1428"/>
      <c r="J15" s="1429"/>
      <c r="K15" s="1430"/>
      <c r="L15" s="1430"/>
      <c r="M15" s="1288"/>
      <c r="N15" s="1305"/>
      <c r="O15" s="1305"/>
      <c r="P15" s="1431"/>
      <c r="Q15" s="1290"/>
      <c r="R15" s="1290"/>
      <c r="S15" s="1290"/>
      <c r="T15" s="1306"/>
      <c r="U15" s="1306"/>
      <c r="V15" s="1432"/>
      <c r="W15" s="1432"/>
      <c r="X15" s="1303"/>
      <c r="Y15" s="1425"/>
    </row>
    <row r="16" spans="1:25" ht="41.4">
      <c r="A16" s="1425"/>
      <c r="B16" s="1433">
        <v>52010020009</v>
      </c>
      <c r="C16" s="1433" t="s">
        <v>117</v>
      </c>
      <c r="D16" s="1412" t="s">
        <v>1712</v>
      </c>
      <c r="E16" s="1434"/>
      <c r="F16" s="1435"/>
      <c r="G16" s="1423"/>
      <c r="H16" s="1436"/>
      <c r="I16" s="1423"/>
      <c r="J16" s="1423"/>
      <c r="K16" s="1430"/>
      <c r="L16" s="1430"/>
      <c r="M16" s="1292"/>
      <c r="N16" s="1307"/>
      <c r="O16" s="1307"/>
      <c r="P16" s="1431"/>
      <c r="Q16" s="1294"/>
      <c r="R16" s="1294"/>
      <c r="S16" s="1294"/>
      <c r="T16" s="1308"/>
      <c r="U16" s="1308"/>
      <c r="V16" s="1432"/>
      <c r="W16" s="1432"/>
      <c r="X16" s="1303"/>
      <c r="Y16" s="1425"/>
    </row>
    <row r="17" spans="1:25">
      <c r="A17" s="3109">
        <v>4145</v>
      </c>
      <c r="B17" s="3115"/>
      <c r="C17" s="3109" t="s">
        <v>123</v>
      </c>
      <c r="D17" s="3111" t="s">
        <v>1713</v>
      </c>
      <c r="E17" s="1437" t="s">
        <v>1714</v>
      </c>
      <c r="F17" s="1415"/>
      <c r="G17" s="1438"/>
      <c r="H17" s="1439"/>
      <c r="I17" s="1438"/>
      <c r="J17" s="1440"/>
      <c r="K17" s="1441">
        <f>SUM(K18,K19,K21)</f>
        <v>1695</v>
      </c>
      <c r="L17" s="1442">
        <f>SUM(L18:L19)</f>
        <v>1</v>
      </c>
      <c r="M17" s="1309"/>
      <c r="N17" s="1310">
        <f>SUM(N18:N19)</f>
        <v>0</v>
      </c>
      <c r="O17" s="3116">
        <f>IF(Q17&gt;0,N17,"na")</f>
        <v>0</v>
      </c>
      <c r="P17" s="1441">
        <f>SUM(P18:P19)</f>
        <v>809000000</v>
      </c>
      <c r="Q17" s="1311">
        <f>SUM(Q18:Q19)</f>
        <v>809000000</v>
      </c>
      <c r="R17" s="1311">
        <f>SUM(R18:R19)</f>
        <v>0</v>
      </c>
      <c r="S17" s="1311">
        <f>SUM(S18:S19)</f>
        <v>0</v>
      </c>
      <c r="T17" s="1312">
        <f t="shared" ref="T17:U22" si="1">IF(Q17=0,0,R17/Q17)</f>
        <v>0</v>
      </c>
      <c r="U17" s="1312">
        <f t="shared" si="1"/>
        <v>0</v>
      </c>
      <c r="V17" s="1419"/>
      <c r="W17" s="1419"/>
      <c r="X17" s="1303"/>
      <c r="Y17" s="3107" t="s">
        <v>1715</v>
      </c>
    </row>
    <row r="18" spans="1:25" ht="158.4">
      <c r="A18" s="3109"/>
      <c r="B18" s="3115"/>
      <c r="C18" s="3109"/>
      <c r="D18" s="3111"/>
      <c r="E18" s="1437" t="s">
        <v>1716</v>
      </c>
      <c r="F18" s="1415"/>
      <c r="G18" s="1438" t="s">
        <v>1717</v>
      </c>
      <c r="H18" s="1439"/>
      <c r="I18" s="1438" t="s">
        <v>1718</v>
      </c>
      <c r="J18" s="1438" t="s">
        <v>120</v>
      </c>
      <c r="K18" s="1441">
        <v>1000</v>
      </c>
      <c r="L18" s="1442">
        <v>0.39</v>
      </c>
      <c r="M18" s="1309">
        <v>0</v>
      </c>
      <c r="N18" s="1313">
        <v>0</v>
      </c>
      <c r="O18" s="3116"/>
      <c r="P18" s="1314">
        <v>319085500</v>
      </c>
      <c r="Q18" s="1314">
        <v>319085500</v>
      </c>
      <c r="R18" s="1314">
        <v>0</v>
      </c>
      <c r="S18" s="1314">
        <v>0</v>
      </c>
      <c r="T18" s="1312">
        <f t="shared" si="1"/>
        <v>0</v>
      </c>
      <c r="U18" s="1312">
        <f t="shared" si="1"/>
        <v>0</v>
      </c>
      <c r="V18" s="1415"/>
      <c r="W18" s="1415"/>
      <c r="X18" s="1303"/>
      <c r="Y18" s="3107"/>
    </row>
    <row r="19" spans="1:25" ht="66">
      <c r="A19" s="3109"/>
      <c r="B19" s="3115"/>
      <c r="C19" s="3109"/>
      <c r="D19" s="3111"/>
      <c r="E19" s="1437" t="s">
        <v>1719</v>
      </c>
      <c r="F19" s="1415"/>
      <c r="G19" s="1438"/>
      <c r="H19" s="1439"/>
      <c r="I19" s="1438" t="s">
        <v>1720</v>
      </c>
      <c r="J19" s="1438" t="s">
        <v>1721</v>
      </c>
      <c r="K19" s="1441">
        <v>650</v>
      </c>
      <c r="L19" s="1442">
        <v>0.61</v>
      </c>
      <c r="M19" s="1309">
        <v>0</v>
      </c>
      <c r="N19" s="1313">
        <v>0</v>
      </c>
      <c r="O19" s="3116"/>
      <c r="P19" s="1314">
        <v>489914500</v>
      </c>
      <c r="Q19" s="1314">
        <v>489914500</v>
      </c>
      <c r="R19" s="1314">
        <v>0</v>
      </c>
      <c r="S19" s="1314">
        <v>0</v>
      </c>
      <c r="T19" s="1312">
        <f t="shared" si="1"/>
        <v>0</v>
      </c>
      <c r="U19" s="1312">
        <f t="shared" si="1"/>
        <v>0</v>
      </c>
      <c r="V19" s="1443"/>
      <c r="W19" s="1443"/>
      <c r="X19" s="1303"/>
      <c r="Y19" s="3107"/>
    </row>
    <row r="20" spans="1:25">
      <c r="A20" s="3109">
        <v>4145</v>
      </c>
      <c r="B20" s="3115"/>
      <c r="C20" s="3109" t="s">
        <v>123</v>
      </c>
      <c r="D20" s="3111" t="s">
        <v>1722</v>
      </c>
      <c r="E20" s="1437" t="s">
        <v>1723</v>
      </c>
      <c r="F20" s="1415"/>
      <c r="G20" s="1438"/>
      <c r="H20" s="1439"/>
      <c r="I20" s="1438"/>
      <c r="J20" s="1440"/>
      <c r="K20" s="1436"/>
      <c r="L20" s="1442">
        <f>SUM(L21:L22)</f>
        <v>1</v>
      </c>
      <c r="M20" s="1309">
        <v>0</v>
      </c>
      <c r="N20" s="1310">
        <f>SUM(N21:N22)</f>
        <v>0</v>
      </c>
      <c r="O20" s="3116">
        <f>IF(Q20&gt;0,N20,"na")</f>
        <v>0</v>
      </c>
      <c r="P20" s="1314">
        <f>SUM(P21:P22)</f>
        <v>71349352</v>
      </c>
      <c r="Q20" s="1314">
        <f t="shared" ref="Q20:S20" si="2">SUM(Q21:Q22)</f>
        <v>71349352</v>
      </c>
      <c r="R20" s="1314">
        <f t="shared" si="2"/>
        <v>0</v>
      </c>
      <c r="S20" s="1314">
        <f t="shared" si="2"/>
        <v>0</v>
      </c>
      <c r="T20" s="1312">
        <f t="shared" si="1"/>
        <v>0</v>
      </c>
      <c r="U20" s="1312">
        <f t="shared" si="1"/>
        <v>0</v>
      </c>
      <c r="V20" s="1419"/>
      <c r="W20" s="1419"/>
      <c r="X20" s="1303"/>
      <c r="Y20" s="3107" t="s">
        <v>1724</v>
      </c>
    </row>
    <row r="21" spans="1:25" ht="105.6">
      <c r="A21" s="3109"/>
      <c r="B21" s="3115"/>
      <c r="C21" s="3109"/>
      <c r="D21" s="3111"/>
      <c r="E21" s="1437" t="s">
        <v>1725</v>
      </c>
      <c r="F21" s="1415"/>
      <c r="G21" s="1438" t="s">
        <v>1726</v>
      </c>
      <c r="H21" s="1439"/>
      <c r="I21" s="1438" t="s">
        <v>1727</v>
      </c>
      <c r="J21" s="1438" t="s">
        <v>120</v>
      </c>
      <c r="K21" s="1441">
        <v>45</v>
      </c>
      <c r="L21" s="1442">
        <v>0.97</v>
      </c>
      <c r="M21" s="1309">
        <v>0</v>
      </c>
      <c r="N21" s="1313">
        <v>0</v>
      </c>
      <c r="O21" s="3116"/>
      <c r="P21" s="1314">
        <v>68900752</v>
      </c>
      <c r="Q21" s="1314">
        <v>68900752</v>
      </c>
      <c r="R21" s="1314">
        <v>0</v>
      </c>
      <c r="S21" s="1314">
        <v>0</v>
      </c>
      <c r="T21" s="1312">
        <f t="shared" si="1"/>
        <v>0</v>
      </c>
      <c r="U21" s="1312">
        <f t="shared" si="1"/>
        <v>0</v>
      </c>
      <c r="V21" s="1443"/>
      <c r="W21" s="1443"/>
      <c r="X21" s="1303"/>
      <c r="Y21" s="3107"/>
    </row>
    <row r="22" spans="1:25" ht="52.8">
      <c r="A22" s="3109"/>
      <c r="B22" s="3115"/>
      <c r="C22" s="3109"/>
      <c r="D22" s="3111"/>
      <c r="E22" s="1437" t="s">
        <v>1728</v>
      </c>
      <c r="F22" s="1415"/>
      <c r="G22" s="1440"/>
      <c r="H22" s="1424"/>
      <c r="I22" s="1438" t="s">
        <v>1729</v>
      </c>
      <c r="J22" s="1438" t="s">
        <v>1730</v>
      </c>
      <c r="K22" s="1441">
        <v>1</v>
      </c>
      <c r="L22" s="1442">
        <v>0.03</v>
      </c>
      <c r="M22" s="1309">
        <v>0</v>
      </c>
      <c r="N22" s="1315">
        <v>0</v>
      </c>
      <c r="O22" s="3116"/>
      <c r="P22" s="1314">
        <v>2448600</v>
      </c>
      <c r="Q22" s="1314">
        <v>2448600</v>
      </c>
      <c r="R22" s="1314">
        <v>0</v>
      </c>
      <c r="S22" s="1314">
        <v>0</v>
      </c>
      <c r="T22" s="1312">
        <f t="shared" si="1"/>
        <v>0</v>
      </c>
      <c r="U22" s="1312">
        <f t="shared" si="1"/>
        <v>0</v>
      </c>
      <c r="V22" s="1443"/>
      <c r="W22" s="1443"/>
      <c r="X22" s="1303"/>
      <c r="Y22" s="3107"/>
    </row>
    <row r="23" spans="1:25">
      <c r="A23" s="1425"/>
      <c r="B23" s="1426">
        <v>5201005</v>
      </c>
      <c r="C23" s="1444" t="s">
        <v>116</v>
      </c>
      <c r="D23" s="1410" t="s">
        <v>1731</v>
      </c>
      <c r="E23" s="1427"/>
      <c r="F23" s="1432"/>
      <c r="G23" s="1438"/>
      <c r="H23" s="1438"/>
      <c r="I23" s="1438"/>
      <c r="J23" s="1440"/>
      <c r="K23" s="1423"/>
      <c r="L23" s="1442"/>
      <c r="M23" s="1316"/>
      <c r="N23" s="1317"/>
      <c r="O23" s="1317"/>
      <c r="P23" s="1436"/>
      <c r="Q23" s="1290"/>
      <c r="R23" s="1290"/>
      <c r="S23" s="1290"/>
      <c r="T23" s="1306"/>
      <c r="U23" s="1306"/>
      <c r="V23" s="1443"/>
      <c r="W23" s="1443"/>
      <c r="X23" s="1303"/>
      <c r="Y23" s="1425"/>
    </row>
    <row r="24" spans="1:25" ht="27.6">
      <c r="A24" s="1425"/>
      <c r="B24" s="1433">
        <v>52010050008</v>
      </c>
      <c r="C24" s="1433" t="s">
        <v>117</v>
      </c>
      <c r="D24" s="1412" t="s">
        <v>1732</v>
      </c>
      <c r="E24" s="1427"/>
      <c r="F24" s="1411"/>
      <c r="G24" s="1415"/>
      <c r="H24" s="1415"/>
      <c r="I24" s="1428"/>
      <c r="J24" s="1429"/>
      <c r="K24" s="1430"/>
      <c r="L24" s="1430"/>
      <c r="M24" s="1318"/>
      <c r="N24" s="1319"/>
      <c r="O24" s="1319"/>
      <c r="P24" s="1431"/>
      <c r="Q24" s="1294"/>
      <c r="R24" s="1294"/>
      <c r="S24" s="1294"/>
      <c r="T24" s="1308"/>
      <c r="U24" s="1308"/>
      <c r="V24" s="1432"/>
      <c r="W24" s="1432"/>
      <c r="X24" s="1303"/>
      <c r="Y24" s="1425"/>
    </row>
    <row r="25" spans="1:25">
      <c r="A25" s="3109">
        <v>4145</v>
      </c>
      <c r="B25" s="3109"/>
      <c r="C25" s="3109" t="s">
        <v>123</v>
      </c>
      <c r="D25" s="3111" t="s">
        <v>1733</v>
      </c>
      <c r="E25" s="1437" t="s">
        <v>1734</v>
      </c>
      <c r="F25" s="1425"/>
      <c r="G25" s="1440"/>
      <c r="H25" s="1439"/>
      <c r="I25" s="1438"/>
      <c r="J25" s="1440"/>
      <c r="K25" s="1441">
        <f>+K28</f>
        <v>3000</v>
      </c>
      <c r="L25" s="1445">
        <f>SUM(L26:L29)</f>
        <v>1</v>
      </c>
      <c r="M25" s="1309"/>
      <c r="N25" s="1310">
        <f>SUM(N26:N29)</f>
        <v>5.717333333333334E-2</v>
      </c>
      <c r="O25" s="3113">
        <f>IF(Q25&gt;0,N25,"na")</f>
        <v>5.717333333333334E-2</v>
      </c>
      <c r="P25" s="1417">
        <f>SUM(P26:P29)</f>
        <v>2593200000</v>
      </c>
      <c r="Q25" s="1320">
        <f>SUM(Q26:Q29)</f>
        <v>2593200000</v>
      </c>
      <c r="R25" s="1320">
        <f>SUM(R26:R29)</f>
        <v>189752000</v>
      </c>
      <c r="S25" s="1320">
        <f>SUM(S26:S29)</f>
        <v>94749000</v>
      </c>
      <c r="T25" s="1312">
        <f t="shared" ref="T25:U29" si="3">IF(Q25=0,0,R25/Q25)</f>
        <v>7.3172913774487119E-2</v>
      </c>
      <c r="U25" s="1312">
        <f t="shared" si="3"/>
        <v>0.4993307053417092</v>
      </c>
      <c r="V25" s="1419"/>
      <c r="W25" s="1419"/>
      <c r="X25" s="1303"/>
      <c r="Y25" s="3107" t="s">
        <v>1724</v>
      </c>
    </row>
    <row r="26" spans="1:25" ht="92.4">
      <c r="A26" s="3109"/>
      <c r="B26" s="3109"/>
      <c r="C26" s="3109"/>
      <c r="D26" s="3111"/>
      <c r="E26" s="1437" t="s">
        <v>1735</v>
      </c>
      <c r="F26" s="1425"/>
      <c r="G26" s="1440"/>
      <c r="H26" s="1424"/>
      <c r="I26" s="1438" t="s">
        <v>1736</v>
      </c>
      <c r="J26" s="1438" t="s">
        <v>1737</v>
      </c>
      <c r="K26" s="1441">
        <v>100</v>
      </c>
      <c r="L26" s="1442">
        <v>0.3</v>
      </c>
      <c r="M26" s="1321">
        <v>0</v>
      </c>
      <c r="N26" s="1315">
        <v>0</v>
      </c>
      <c r="O26" s="3113"/>
      <c r="P26" s="1311">
        <v>790752200</v>
      </c>
      <c r="Q26" s="1311">
        <v>790752200</v>
      </c>
      <c r="R26" s="1311">
        <v>107396000</v>
      </c>
      <c r="S26" s="1311">
        <v>51679666</v>
      </c>
      <c r="T26" s="1312">
        <f t="shared" si="3"/>
        <v>0.13581498729943464</v>
      </c>
      <c r="U26" s="1312">
        <f t="shared" si="3"/>
        <v>0.48120661849603336</v>
      </c>
      <c r="V26" s="1443">
        <v>45306</v>
      </c>
      <c r="W26" s="1443">
        <v>45657</v>
      </c>
      <c r="X26" s="1303" t="s">
        <v>1738</v>
      </c>
      <c r="Y26" s="3107"/>
    </row>
    <row r="27" spans="1:25" ht="66">
      <c r="A27" s="3109"/>
      <c r="B27" s="3109"/>
      <c r="C27" s="3109"/>
      <c r="D27" s="3111"/>
      <c r="E27" s="1437" t="s">
        <v>1739</v>
      </c>
      <c r="F27" s="1425"/>
      <c r="G27" s="1440"/>
      <c r="H27" s="1424"/>
      <c r="I27" s="1438" t="s">
        <v>1740</v>
      </c>
      <c r="J27" s="1438" t="s">
        <v>1721</v>
      </c>
      <c r="K27" s="1441">
        <v>100</v>
      </c>
      <c r="L27" s="1442">
        <v>0.05</v>
      </c>
      <c r="M27" s="1321">
        <v>0</v>
      </c>
      <c r="N27" s="1315">
        <v>0</v>
      </c>
      <c r="O27" s="3113"/>
      <c r="P27" s="1311">
        <v>116624400</v>
      </c>
      <c r="Q27" s="1311">
        <v>116624400</v>
      </c>
      <c r="R27" s="1311">
        <v>0</v>
      </c>
      <c r="S27" s="1311">
        <v>0</v>
      </c>
      <c r="T27" s="1312">
        <f t="shared" si="3"/>
        <v>0</v>
      </c>
      <c r="U27" s="1312">
        <f t="shared" si="3"/>
        <v>0</v>
      </c>
      <c r="V27" s="1446"/>
      <c r="W27" s="1446"/>
      <c r="X27" s="1303"/>
      <c r="Y27" s="3107"/>
    </row>
    <row r="28" spans="1:25" ht="79.2">
      <c r="A28" s="3109"/>
      <c r="B28" s="3109"/>
      <c r="C28" s="3109"/>
      <c r="D28" s="3111"/>
      <c r="E28" s="1437" t="s">
        <v>1741</v>
      </c>
      <c r="F28" s="1425"/>
      <c r="G28" s="1438" t="s">
        <v>1742</v>
      </c>
      <c r="H28" s="1439"/>
      <c r="I28" s="1438" t="s">
        <v>1743</v>
      </c>
      <c r="J28" s="1438" t="s">
        <v>1744</v>
      </c>
      <c r="K28" s="1441">
        <v>3000</v>
      </c>
      <c r="L28" s="1442">
        <v>0.64</v>
      </c>
      <c r="M28" s="1321">
        <v>268</v>
      </c>
      <c r="N28" s="1315">
        <v>5.717333333333334E-2</v>
      </c>
      <c r="O28" s="3113"/>
      <c r="P28" s="1311">
        <v>1656033722</v>
      </c>
      <c r="Q28" s="1311">
        <v>1656033722</v>
      </c>
      <c r="R28" s="1311">
        <v>82356000</v>
      </c>
      <c r="S28" s="1311">
        <v>43069334</v>
      </c>
      <c r="T28" s="1312">
        <f t="shared" si="3"/>
        <v>4.9730871362050684E-2</v>
      </c>
      <c r="U28" s="1312">
        <f t="shared" si="3"/>
        <v>0.52296534557287877</v>
      </c>
      <c r="V28" s="1446">
        <v>45306</v>
      </c>
      <c r="W28" s="1446">
        <v>45657</v>
      </c>
      <c r="X28" s="1303" t="s">
        <v>1745</v>
      </c>
      <c r="Y28" s="3107"/>
    </row>
    <row r="29" spans="1:25" ht="52.8">
      <c r="A29" s="3109"/>
      <c r="B29" s="3109"/>
      <c r="C29" s="3109"/>
      <c r="D29" s="3111"/>
      <c r="E29" s="1437" t="s">
        <v>1746</v>
      </c>
      <c r="F29" s="1438"/>
      <c r="G29" s="1440"/>
      <c r="H29" s="1424"/>
      <c r="I29" s="1414" t="s">
        <v>1747</v>
      </c>
      <c r="J29" s="1415" t="s">
        <v>1730</v>
      </c>
      <c r="K29" s="1441">
        <v>1</v>
      </c>
      <c r="L29" s="1442">
        <v>0.01</v>
      </c>
      <c r="M29" s="1321">
        <v>0</v>
      </c>
      <c r="N29" s="1315">
        <v>0</v>
      </c>
      <c r="O29" s="3113"/>
      <c r="P29" s="1311">
        <v>29789678</v>
      </c>
      <c r="Q29" s="1311">
        <v>29789678</v>
      </c>
      <c r="R29" s="1311">
        <v>0</v>
      </c>
      <c r="S29" s="1311">
        <v>0</v>
      </c>
      <c r="T29" s="1312">
        <f t="shared" si="3"/>
        <v>0</v>
      </c>
      <c r="U29" s="1312">
        <f t="shared" si="3"/>
        <v>0</v>
      </c>
      <c r="V29" s="1446"/>
      <c r="W29" s="1446"/>
      <c r="X29" s="1303"/>
      <c r="Y29" s="3107"/>
    </row>
    <row r="30" spans="1:25" ht="15.6">
      <c r="A30" s="1447"/>
      <c r="B30" s="1406">
        <v>5202</v>
      </c>
      <c r="C30" s="1406" t="s">
        <v>115</v>
      </c>
      <c r="D30" s="1407" t="s">
        <v>1390</v>
      </c>
      <c r="E30" s="1427"/>
      <c r="F30" s="1448"/>
      <c r="G30" s="1414"/>
      <c r="H30" s="1414"/>
      <c r="I30" s="1449"/>
      <c r="J30" s="1429"/>
      <c r="K30" s="1436"/>
      <c r="L30" s="1446"/>
      <c r="M30" s="1322"/>
      <c r="N30" s="1323"/>
      <c r="O30" s="1323"/>
      <c r="P30" s="1443"/>
      <c r="Q30" s="1285"/>
      <c r="R30" s="1285"/>
      <c r="S30" s="1285"/>
      <c r="T30" s="1304"/>
      <c r="U30" s="1304"/>
      <c r="V30" s="1408"/>
      <c r="W30" s="1450"/>
      <c r="X30" s="1303"/>
      <c r="Y30" s="1425"/>
    </row>
    <row r="31" spans="1:25">
      <c r="A31" s="1447"/>
      <c r="B31" s="1405">
        <v>5202001</v>
      </c>
      <c r="C31" s="1405" t="s">
        <v>116</v>
      </c>
      <c r="D31" s="1410" t="s">
        <v>1748</v>
      </c>
      <c r="E31" s="1427"/>
      <c r="F31" s="1448"/>
      <c r="G31" s="1414"/>
      <c r="H31" s="1414"/>
      <c r="I31" s="1449"/>
      <c r="J31" s="1429"/>
      <c r="K31" s="1436"/>
      <c r="L31" s="1446"/>
      <c r="M31" s="1567"/>
      <c r="N31" s="1317"/>
      <c r="O31" s="1317"/>
      <c r="P31" s="1443"/>
      <c r="Q31" s="1568"/>
      <c r="R31" s="1568"/>
      <c r="S31" s="1568"/>
      <c r="T31" s="1306"/>
      <c r="U31" s="1306"/>
      <c r="V31" s="1408"/>
      <c r="W31" s="1450"/>
      <c r="X31" s="1303"/>
      <c r="Y31" s="1425"/>
    </row>
    <row r="32" spans="1:25" ht="27.6">
      <c r="A32" s="1447"/>
      <c r="B32" s="1433">
        <v>52020010006</v>
      </c>
      <c r="C32" s="1411" t="s">
        <v>117</v>
      </c>
      <c r="D32" s="1412" t="s">
        <v>1749</v>
      </c>
      <c r="E32" s="1427"/>
      <c r="F32" s="1451"/>
      <c r="G32" s="1414"/>
      <c r="H32" s="1414"/>
      <c r="I32" s="1449"/>
      <c r="J32" s="1429"/>
      <c r="K32" s="1436"/>
      <c r="L32" s="1446"/>
      <c r="M32" s="1569"/>
      <c r="N32" s="1319"/>
      <c r="O32" s="1319"/>
      <c r="P32" s="1443"/>
      <c r="Q32" s="1570"/>
      <c r="R32" s="1570"/>
      <c r="S32" s="1570"/>
      <c r="T32" s="1308"/>
      <c r="U32" s="1308"/>
      <c r="V32" s="1408"/>
      <c r="W32" s="1450"/>
      <c r="X32" s="1303"/>
      <c r="Y32" s="1425"/>
    </row>
    <row r="33" spans="1:25">
      <c r="A33" s="3109">
        <v>4145</v>
      </c>
      <c r="B33" s="3115"/>
      <c r="C33" s="3115" t="s">
        <v>123</v>
      </c>
      <c r="D33" s="3125" t="s">
        <v>1750</v>
      </c>
      <c r="E33" s="1437" t="s">
        <v>1751</v>
      </c>
      <c r="F33" s="1408"/>
      <c r="G33" s="1415"/>
      <c r="H33" s="1439"/>
      <c r="I33" s="1428"/>
      <c r="J33" s="1429"/>
      <c r="K33" s="1441">
        <f>+K34</f>
        <v>20</v>
      </c>
      <c r="L33" s="1442">
        <f>SUM(L34:L35)</f>
        <v>1</v>
      </c>
      <c r="M33" s="1343"/>
      <c r="N33" s="1324">
        <f>SUM(N34:N35)</f>
        <v>0</v>
      </c>
      <c r="O33" s="3113">
        <f>IF(Q33&gt;0,N33,"na")</f>
        <v>0</v>
      </c>
      <c r="P33" s="1417">
        <f>SUM(P34:P35)</f>
        <v>755000000</v>
      </c>
      <c r="Q33" s="1320">
        <f>SUM(Q34:Q35)</f>
        <v>755000000</v>
      </c>
      <c r="R33" s="1320">
        <f>SUM(R34:R35)</f>
        <v>22190000</v>
      </c>
      <c r="S33" s="1320">
        <f>SUM(S34:S35)</f>
        <v>4438000</v>
      </c>
      <c r="T33" s="1312">
        <f t="shared" ref="T33:U35" si="4">IF(Q33=0,0,R33/Q33)</f>
        <v>2.9390728476821192E-2</v>
      </c>
      <c r="U33" s="1312">
        <f t="shared" si="4"/>
        <v>0.2</v>
      </c>
      <c r="V33" s="1419"/>
      <c r="W33" s="1419"/>
      <c r="X33" s="1303"/>
      <c r="Y33" s="3107" t="s">
        <v>1752</v>
      </c>
    </row>
    <row r="34" spans="1:25" ht="79.2">
      <c r="A34" s="3109"/>
      <c r="B34" s="3115"/>
      <c r="C34" s="3115"/>
      <c r="D34" s="3125"/>
      <c r="E34" s="1437" t="s">
        <v>1753</v>
      </c>
      <c r="F34" s="1453"/>
      <c r="G34" s="1415" t="s">
        <v>1754</v>
      </c>
      <c r="H34" s="1439"/>
      <c r="I34" s="1438" t="s">
        <v>1755</v>
      </c>
      <c r="J34" s="1438" t="s">
        <v>1756</v>
      </c>
      <c r="K34" s="1441">
        <v>20</v>
      </c>
      <c r="L34" s="1454">
        <v>0.45</v>
      </c>
      <c r="M34" s="1326">
        <v>0</v>
      </c>
      <c r="N34" s="1315">
        <v>0</v>
      </c>
      <c r="O34" s="3113"/>
      <c r="P34" s="1327">
        <v>340864446</v>
      </c>
      <c r="Q34" s="1327">
        <v>340864446</v>
      </c>
      <c r="R34" s="1327">
        <v>0</v>
      </c>
      <c r="S34" s="1327">
        <v>0</v>
      </c>
      <c r="T34" s="1312">
        <f t="shared" si="4"/>
        <v>0</v>
      </c>
      <c r="U34" s="1312">
        <f t="shared" si="4"/>
        <v>0</v>
      </c>
      <c r="V34" s="1443"/>
      <c r="W34" s="1443"/>
      <c r="X34" s="1303"/>
      <c r="Y34" s="3107"/>
    </row>
    <row r="35" spans="1:25" ht="92.4">
      <c r="A35" s="3109"/>
      <c r="B35" s="3115"/>
      <c r="C35" s="3115"/>
      <c r="D35" s="3125"/>
      <c r="E35" s="1437" t="s">
        <v>1757</v>
      </c>
      <c r="F35" s="1408"/>
      <c r="G35" s="1414"/>
      <c r="H35" s="1424"/>
      <c r="I35" s="1438" t="s">
        <v>1758</v>
      </c>
      <c r="J35" s="1415" t="s">
        <v>120</v>
      </c>
      <c r="K35" s="1441">
        <v>1000</v>
      </c>
      <c r="L35" s="1454">
        <v>0.55000000000000004</v>
      </c>
      <c r="M35" s="1326">
        <v>0</v>
      </c>
      <c r="N35" s="1315">
        <v>0</v>
      </c>
      <c r="O35" s="3113"/>
      <c r="P35" s="1327">
        <v>414135554</v>
      </c>
      <c r="Q35" s="1327">
        <v>414135554</v>
      </c>
      <c r="R35" s="1327">
        <v>22190000</v>
      </c>
      <c r="S35" s="1327">
        <v>4438000</v>
      </c>
      <c r="T35" s="1312">
        <f t="shared" si="4"/>
        <v>5.3581489890626485E-2</v>
      </c>
      <c r="U35" s="1312">
        <f t="shared" si="4"/>
        <v>0.2</v>
      </c>
      <c r="V35" s="1446">
        <v>45306</v>
      </c>
      <c r="W35" s="1446">
        <v>45657</v>
      </c>
      <c r="X35" s="1303" t="s">
        <v>1759</v>
      </c>
      <c r="Y35" s="3107"/>
    </row>
    <row r="36" spans="1:25" ht="27.6">
      <c r="A36" s="1425"/>
      <c r="B36" s="1444">
        <v>5202002</v>
      </c>
      <c r="C36" s="1444" t="s">
        <v>116</v>
      </c>
      <c r="D36" s="1410" t="s">
        <v>1760</v>
      </c>
      <c r="E36" s="1432"/>
      <c r="F36" s="1422"/>
      <c r="G36" s="1423"/>
      <c r="H36" s="1430"/>
      <c r="I36" s="1430"/>
      <c r="J36" s="1430"/>
      <c r="K36" s="1430"/>
      <c r="L36" s="1430"/>
      <c r="M36" s="1567"/>
      <c r="N36" s="1317"/>
      <c r="O36" s="1317"/>
      <c r="P36" s="1431"/>
      <c r="Q36" s="1568"/>
      <c r="R36" s="1568"/>
      <c r="S36" s="1568"/>
      <c r="T36" s="1306"/>
      <c r="U36" s="1306"/>
      <c r="V36" s="1432"/>
      <c r="W36" s="1432"/>
      <c r="X36" s="1303"/>
      <c r="Y36" s="1425"/>
    </row>
    <row r="37" spans="1:25">
      <c r="A37" s="1425"/>
      <c r="B37" s="1433">
        <v>52020020007</v>
      </c>
      <c r="C37" s="1433" t="s">
        <v>117</v>
      </c>
      <c r="D37" s="1412" t="s">
        <v>1761</v>
      </c>
      <c r="E37" s="1432"/>
      <c r="F37" s="1435"/>
      <c r="G37" s="1423"/>
      <c r="H37" s="1423"/>
      <c r="I37" s="1430"/>
      <c r="J37" s="1430"/>
      <c r="K37" s="1430"/>
      <c r="L37" s="1430"/>
      <c r="M37" s="1569"/>
      <c r="N37" s="1319"/>
      <c r="O37" s="1319"/>
      <c r="P37" s="1431"/>
      <c r="Q37" s="1570"/>
      <c r="R37" s="1570"/>
      <c r="S37" s="1570"/>
      <c r="T37" s="1308"/>
      <c r="U37" s="1308"/>
      <c r="V37" s="1432"/>
      <c r="W37" s="1432"/>
      <c r="X37" s="1303"/>
      <c r="Y37" s="1425"/>
    </row>
    <row r="38" spans="1:25">
      <c r="A38" s="3109">
        <v>4145</v>
      </c>
      <c r="B38" s="3115"/>
      <c r="C38" s="3115" t="s">
        <v>123</v>
      </c>
      <c r="D38" s="3111" t="s">
        <v>1762</v>
      </c>
      <c r="E38" s="1415" t="s">
        <v>1763</v>
      </c>
      <c r="F38" s="1453"/>
      <c r="G38" s="1440"/>
      <c r="H38" s="1439"/>
      <c r="I38" s="1455"/>
      <c r="J38" s="1429"/>
      <c r="K38" s="1455">
        <f>SUM(K39)</f>
        <v>820487</v>
      </c>
      <c r="L38" s="1442">
        <f>SUM(L39:L44)</f>
        <v>1.0000000000000002</v>
      </c>
      <c r="M38" s="1346"/>
      <c r="N38" s="1310">
        <f>SUM(N39:N44)</f>
        <v>0.21550000000000002</v>
      </c>
      <c r="O38" s="3113">
        <f>IF(Q38&gt;0,N38,"na")</f>
        <v>0.21550000000000002</v>
      </c>
      <c r="P38" s="1441">
        <f>SUM(P39:P44)</f>
        <v>1342000000</v>
      </c>
      <c r="Q38" s="1328">
        <f>SUM(Q39:Q44)</f>
        <v>1342000000</v>
      </c>
      <c r="R38" s="1328">
        <f>SUM(R39:R44)</f>
        <v>240904000</v>
      </c>
      <c r="S38" s="1328">
        <f>SUM(S39:S44)</f>
        <v>139409000</v>
      </c>
      <c r="T38" s="1312">
        <f t="shared" ref="T38:U44" si="5">IF(Q38=0,0,R38/Q38)</f>
        <v>0.17951117734724292</v>
      </c>
      <c r="U38" s="1312">
        <f t="shared" si="5"/>
        <v>0.5786910968684621</v>
      </c>
      <c r="V38" s="1419"/>
      <c r="W38" s="1419"/>
      <c r="X38" s="1303"/>
      <c r="Y38" s="3107" t="s">
        <v>1752</v>
      </c>
    </row>
    <row r="39" spans="1:25" ht="66">
      <c r="A39" s="3109"/>
      <c r="B39" s="3115"/>
      <c r="C39" s="3115"/>
      <c r="D39" s="3111"/>
      <c r="E39" s="1415" t="s">
        <v>1764</v>
      </c>
      <c r="F39" s="1408"/>
      <c r="G39" s="1415" t="s">
        <v>1765</v>
      </c>
      <c r="H39" s="1439"/>
      <c r="I39" s="1415" t="s">
        <v>1766</v>
      </c>
      <c r="J39" s="1415" t="s">
        <v>1767</v>
      </c>
      <c r="K39" s="1456">
        <v>820487</v>
      </c>
      <c r="L39" s="1442">
        <v>0.3</v>
      </c>
      <c r="M39" s="1329">
        <v>158822</v>
      </c>
      <c r="N39" s="1315">
        <v>5.8500000000000003E-2</v>
      </c>
      <c r="O39" s="3113"/>
      <c r="P39" s="1311">
        <v>147385600</v>
      </c>
      <c r="Q39" s="1311">
        <v>147385600</v>
      </c>
      <c r="R39" s="1311">
        <v>28484000</v>
      </c>
      <c r="S39" s="1311">
        <v>13193000</v>
      </c>
      <c r="T39" s="1312">
        <f t="shared" si="5"/>
        <v>0.1932617569151939</v>
      </c>
      <c r="U39" s="1312">
        <f t="shared" si="5"/>
        <v>0.46317230726021624</v>
      </c>
      <c r="V39" s="1443">
        <v>45306</v>
      </c>
      <c r="W39" s="1443">
        <v>45657</v>
      </c>
      <c r="X39" s="1303" t="s">
        <v>1768</v>
      </c>
      <c r="Y39" s="3107"/>
    </row>
    <row r="40" spans="1:25" ht="66">
      <c r="A40" s="3109"/>
      <c r="B40" s="3115"/>
      <c r="C40" s="3115"/>
      <c r="D40" s="3111"/>
      <c r="E40" s="1415" t="s">
        <v>1769</v>
      </c>
      <c r="F40" s="1408"/>
      <c r="G40" s="1414"/>
      <c r="H40" s="1424"/>
      <c r="I40" s="1415" t="s">
        <v>1770</v>
      </c>
      <c r="J40" s="1415" t="s">
        <v>1771</v>
      </c>
      <c r="K40" s="1428">
        <v>150</v>
      </c>
      <c r="L40" s="1442">
        <v>0.3</v>
      </c>
      <c r="M40" s="1329">
        <v>46</v>
      </c>
      <c r="N40" s="1315">
        <v>9.1999999999999998E-2</v>
      </c>
      <c r="O40" s="3113"/>
      <c r="P40" s="1311">
        <v>809146200</v>
      </c>
      <c r="Q40" s="1311">
        <v>809146200</v>
      </c>
      <c r="R40" s="1311">
        <v>167427000</v>
      </c>
      <c r="S40" s="1311">
        <v>102482000</v>
      </c>
      <c r="T40" s="1312">
        <f t="shared" si="5"/>
        <v>0.2069181070120579</v>
      </c>
      <c r="U40" s="1312">
        <f t="shared" si="5"/>
        <v>0.61209960161742127</v>
      </c>
      <c r="V40" s="1446">
        <v>45306</v>
      </c>
      <c r="W40" s="1446">
        <v>45657</v>
      </c>
      <c r="X40" s="1303" t="s">
        <v>1772</v>
      </c>
      <c r="Y40" s="3107"/>
    </row>
    <row r="41" spans="1:25" ht="52.8">
      <c r="A41" s="3109"/>
      <c r="B41" s="3115"/>
      <c r="C41" s="3115"/>
      <c r="D41" s="3111"/>
      <c r="E41" s="1415" t="s">
        <v>1773</v>
      </c>
      <c r="F41" s="1408"/>
      <c r="G41" s="1414"/>
      <c r="H41" s="1424"/>
      <c r="I41" s="1415" t="s">
        <v>1774</v>
      </c>
      <c r="J41" s="1415" t="s">
        <v>1775</v>
      </c>
      <c r="K41" s="1428">
        <v>50</v>
      </c>
      <c r="L41" s="1442">
        <v>0.2</v>
      </c>
      <c r="M41" s="1329">
        <v>10</v>
      </c>
      <c r="N41" s="1315">
        <v>0.04</v>
      </c>
      <c r="O41" s="3113"/>
      <c r="P41" s="1311">
        <v>39014400</v>
      </c>
      <c r="Q41" s="1311">
        <v>39014400</v>
      </c>
      <c r="R41" s="1311">
        <v>13314000</v>
      </c>
      <c r="S41" s="1311">
        <v>8876000</v>
      </c>
      <c r="T41" s="1312">
        <f t="shared" si="5"/>
        <v>0.34125861220472442</v>
      </c>
      <c r="U41" s="1312">
        <f t="shared" si="5"/>
        <v>0.66666666666666663</v>
      </c>
      <c r="V41" s="1446">
        <v>45306</v>
      </c>
      <c r="W41" s="1446">
        <v>45657</v>
      </c>
      <c r="X41" s="1303" t="s">
        <v>1776</v>
      </c>
      <c r="Y41" s="3107"/>
    </row>
    <row r="42" spans="1:25" ht="66">
      <c r="A42" s="3109"/>
      <c r="B42" s="3115"/>
      <c r="C42" s="3115"/>
      <c r="D42" s="3111"/>
      <c r="E42" s="1415" t="s">
        <v>1777</v>
      </c>
      <c r="F42" s="1408"/>
      <c r="G42" s="1414"/>
      <c r="H42" s="1424"/>
      <c r="I42" s="1415" t="s">
        <v>1778</v>
      </c>
      <c r="J42" s="1415" t="s">
        <v>1779</v>
      </c>
      <c r="K42" s="1428">
        <v>12</v>
      </c>
      <c r="L42" s="1442">
        <v>0.06</v>
      </c>
      <c r="M42" s="1329">
        <v>0</v>
      </c>
      <c r="N42" s="1315">
        <v>0</v>
      </c>
      <c r="O42" s="3113"/>
      <c r="P42" s="1311">
        <v>27014400</v>
      </c>
      <c r="Q42" s="1311">
        <v>27014400</v>
      </c>
      <c r="R42" s="1311"/>
      <c r="S42" s="1311"/>
      <c r="T42" s="1312">
        <f t="shared" si="5"/>
        <v>0</v>
      </c>
      <c r="U42" s="1312">
        <f t="shared" si="5"/>
        <v>0</v>
      </c>
      <c r="V42" s="1446"/>
      <c r="W42" s="1446"/>
      <c r="X42" s="1303"/>
      <c r="Y42" s="3107"/>
    </row>
    <row r="43" spans="1:25" ht="39.6">
      <c r="A43" s="3109"/>
      <c r="B43" s="3115"/>
      <c r="C43" s="3115"/>
      <c r="D43" s="3111"/>
      <c r="E43" s="1415" t="s">
        <v>1780</v>
      </c>
      <c r="F43" s="1408"/>
      <c r="G43" s="1414"/>
      <c r="H43" s="1424"/>
      <c r="I43" s="1415" t="s">
        <v>1781</v>
      </c>
      <c r="J43" s="1415" t="s">
        <v>1782</v>
      </c>
      <c r="K43" s="1457">
        <v>12</v>
      </c>
      <c r="L43" s="1442">
        <v>0.06</v>
      </c>
      <c r="M43" s="1329">
        <v>3</v>
      </c>
      <c r="N43" s="1315">
        <v>1.4999999999999999E-2</v>
      </c>
      <c r="O43" s="3113"/>
      <c r="P43" s="1311">
        <v>99052800</v>
      </c>
      <c r="Q43" s="1311">
        <v>99052800</v>
      </c>
      <c r="R43" s="1311">
        <v>13314000</v>
      </c>
      <c r="S43" s="1311">
        <v>4438000</v>
      </c>
      <c r="T43" s="1312">
        <f t="shared" si="5"/>
        <v>0.13441316146540028</v>
      </c>
      <c r="U43" s="1312">
        <f t="shared" si="5"/>
        <v>0.33333333333333331</v>
      </c>
      <c r="V43" s="1446">
        <v>45306</v>
      </c>
      <c r="W43" s="1446">
        <v>45657</v>
      </c>
      <c r="X43" s="1303" t="s">
        <v>1783</v>
      </c>
      <c r="Y43" s="3107"/>
    </row>
    <row r="44" spans="1:25" ht="92.4">
      <c r="A44" s="3109"/>
      <c r="B44" s="3115"/>
      <c r="C44" s="3115"/>
      <c r="D44" s="3111"/>
      <c r="E44" s="1415" t="s">
        <v>1784</v>
      </c>
      <c r="F44" s="1408"/>
      <c r="G44" s="1414"/>
      <c r="H44" s="1424"/>
      <c r="I44" s="1415" t="s">
        <v>1785</v>
      </c>
      <c r="J44" s="1415" t="s">
        <v>1786</v>
      </c>
      <c r="K44" s="1428">
        <v>12</v>
      </c>
      <c r="L44" s="1442">
        <v>0.08</v>
      </c>
      <c r="M44" s="1329">
        <v>1.5</v>
      </c>
      <c r="N44" s="1315">
        <v>0.01</v>
      </c>
      <c r="O44" s="3113"/>
      <c r="P44" s="1311">
        <v>220386600</v>
      </c>
      <c r="Q44" s="1311">
        <v>220386600</v>
      </c>
      <c r="R44" s="1311">
        <v>18365000</v>
      </c>
      <c r="S44" s="1311">
        <v>10420000</v>
      </c>
      <c r="T44" s="1312">
        <f t="shared" si="5"/>
        <v>8.333083771880867E-2</v>
      </c>
      <c r="U44" s="1312">
        <f t="shared" si="5"/>
        <v>0.56738361012796079</v>
      </c>
      <c r="V44" s="1446">
        <v>45306</v>
      </c>
      <c r="W44" s="1446">
        <v>45657</v>
      </c>
      <c r="X44" s="1303" t="s">
        <v>1787</v>
      </c>
      <c r="Y44" s="3107"/>
    </row>
    <row r="45" spans="1:25">
      <c r="A45" s="1425"/>
      <c r="B45" s="1426">
        <v>5202003</v>
      </c>
      <c r="C45" s="1426" t="s">
        <v>116</v>
      </c>
      <c r="D45" s="1410" t="s">
        <v>1788</v>
      </c>
      <c r="E45" s="1434"/>
      <c r="F45" s="1458"/>
      <c r="G45" s="1423"/>
      <c r="H45" s="1423"/>
      <c r="I45" s="1423"/>
      <c r="J45" s="1423"/>
      <c r="K45" s="1430"/>
      <c r="L45" s="1430"/>
      <c r="M45" s="1330"/>
      <c r="N45" s="1331"/>
      <c r="O45" s="1317"/>
      <c r="P45" s="1431"/>
      <c r="Q45" s="1568"/>
      <c r="R45" s="1568"/>
      <c r="S45" s="1568"/>
      <c r="T45" s="1306"/>
      <c r="U45" s="1306"/>
      <c r="V45" s="1432"/>
      <c r="W45" s="1432"/>
      <c r="X45" s="1303"/>
      <c r="Y45" s="1425"/>
    </row>
    <row r="46" spans="1:25" ht="27.6">
      <c r="A46" s="1425"/>
      <c r="B46" s="1433">
        <v>52020030006</v>
      </c>
      <c r="C46" s="1433" t="s">
        <v>117</v>
      </c>
      <c r="D46" s="1412" t="s">
        <v>1789</v>
      </c>
      <c r="E46" s="1427"/>
      <c r="F46" s="1422"/>
      <c r="G46" s="1438"/>
      <c r="H46" s="1459"/>
      <c r="I46" s="1438"/>
      <c r="J46" s="1440"/>
      <c r="K46" s="1460"/>
      <c r="L46" s="1442"/>
      <c r="M46" s="1332"/>
      <c r="N46" s="1333"/>
      <c r="O46" s="1319"/>
      <c r="P46" s="1417"/>
      <c r="Q46" s="1570"/>
      <c r="R46" s="1570"/>
      <c r="S46" s="1570"/>
      <c r="T46" s="1308"/>
      <c r="U46" s="1308"/>
      <c r="V46" s="1432"/>
      <c r="W46" s="1432"/>
      <c r="X46" s="1303"/>
      <c r="Y46" s="1425"/>
    </row>
    <row r="47" spans="1:25">
      <c r="A47" s="3109">
        <v>4145</v>
      </c>
      <c r="B47" s="3115"/>
      <c r="C47" s="3109" t="s">
        <v>123</v>
      </c>
      <c r="D47" s="3111" t="s">
        <v>1790</v>
      </c>
      <c r="E47" s="1437" t="s">
        <v>1791</v>
      </c>
      <c r="F47" s="1425"/>
      <c r="G47" s="1438"/>
      <c r="H47" s="1439"/>
      <c r="I47" s="1438"/>
      <c r="J47" s="1440"/>
      <c r="K47" s="1461">
        <f>SUM(K48)</f>
        <v>1000</v>
      </c>
      <c r="L47" s="1442">
        <f>SUM(L48:L50)</f>
        <v>1</v>
      </c>
      <c r="M47" s="1326"/>
      <c r="N47" s="1324">
        <f>SUM(N48:N50)</f>
        <v>4.0000000000000001E-3</v>
      </c>
      <c r="O47" s="3113">
        <f>IF(Q47&gt;0,N47,"na")</f>
        <v>4.0000000000000001E-3</v>
      </c>
      <c r="P47" s="1417">
        <f>SUM(P48:P50)</f>
        <v>2673105503</v>
      </c>
      <c r="Q47" s="1320">
        <f>SUM(Q48:Q50)</f>
        <v>2673105503</v>
      </c>
      <c r="R47" s="1320">
        <f>SUM(R48:R50)</f>
        <v>17752000</v>
      </c>
      <c r="S47" s="1320">
        <f>SUM(S48:S50)</f>
        <v>13314000</v>
      </c>
      <c r="T47" s="1312">
        <f t="shared" ref="T47:U57" si="6">IF(Q47=0,0,R47/Q47)</f>
        <v>6.6409649675544438E-3</v>
      </c>
      <c r="U47" s="1312">
        <f t="shared" si="6"/>
        <v>0.75</v>
      </c>
      <c r="V47" s="1419"/>
      <c r="W47" s="1419"/>
      <c r="X47" s="1303"/>
      <c r="Y47" s="3107" t="s">
        <v>1752</v>
      </c>
    </row>
    <row r="48" spans="1:25" ht="52.8">
      <c r="A48" s="3109"/>
      <c r="B48" s="3115"/>
      <c r="C48" s="3109"/>
      <c r="D48" s="3111"/>
      <c r="E48" s="1437" t="s">
        <v>1792</v>
      </c>
      <c r="F48" s="1414"/>
      <c r="G48" s="1415" t="s">
        <v>1793</v>
      </c>
      <c r="H48" s="1439"/>
      <c r="I48" s="1415" t="s">
        <v>1794</v>
      </c>
      <c r="J48" s="1438" t="s">
        <v>120</v>
      </c>
      <c r="K48" s="1459">
        <v>1000</v>
      </c>
      <c r="L48" s="1462">
        <v>0.63</v>
      </c>
      <c r="M48" s="1326">
        <v>0</v>
      </c>
      <c r="N48" s="1315">
        <v>0</v>
      </c>
      <c r="O48" s="3113"/>
      <c r="P48" s="1311">
        <v>1676750000</v>
      </c>
      <c r="Q48" s="1311">
        <v>1676750000</v>
      </c>
      <c r="R48" s="1311">
        <v>0</v>
      </c>
      <c r="S48" s="1311">
        <v>0</v>
      </c>
      <c r="T48" s="1312">
        <f t="shared" si="6"/>
        <v>0</v>
      </c>
      <c r="U48" s="1312">
        <f t="shared" si="6"/>
        <v>0</v>
      </c>
      <c r="V48" s="1443"/>
      <c r="W48" s="1443"/>
      <c r="X48" s="1303"/>
      <c r="Y48" s="3107"/>
    </row>
    <row r="49" spans="1:25" ht="92.4">
      <c r="A49" s="3109"/>
      <c r="B49" s="3115"/>
      <c r="C49" s="3109"/>
      <c r="D49" s="3111"/>
      <c r="E49" s="1437" t="s">
        <v>1795</v>
      </c>
      <c r="F49" s="1414"/>
      <c r="G49" s="1414"/>
      <c r="H49" s="1424"/>
      <c r="I49" s="1438" t="s">
        <v>1796</v>
      </c>
      <c r="J49" s="1438" t="s">
        <v>1797</v>
      </c>
      <c r="K49" s="1459">
        <v>50</v>
      </c>
      <c r="L49" s="1462">
        <v>0.1</v>
      </c>
      <c r="M49" s="1326">
        <v>2</v>
      </c>
      <c r="N49" s="1315">
        <v>4.0000000000000001E-3</v>
      </c>
      <c r="O49" s="3113"/>
      <c r="P49" s="1311">
        <v>266100450</v>
      </c>
      <c r="Q49" s="1311">
        <v>266100450</v>
      </c>
      <c r="R49" s="1311">
        <v>17752000</v>
      </c>
      <c r="S49" s="1311">
        <v>13314000</v>
      </c>
      <c r="T49" s="1312">
        <f t="shared" si="6"/>
        <v>6.6711649679660451E-2</v>
      </c>
      <c r="U49" s="1312">
        <f t="shared" si="6"/>
        <v>0.75</v>
      </c>
      <c r="V49" s="1446">
        <v>45306</v>
      </c>
      <c r="W49" s="1446">
        <v>45657</v>
      </c>
      <c r="X49" s="1303" t="s">
        <v>1798</v>
      </c>
      <c r="Y49" s="3107"/>
    </row>
    <row r="50" spans="1:25" ht="79.2">
      <c r="A50" s="3109"/>
      <c r="B50" s="3115"/>
      <c r="C50" s="3109"/>
      <c r="D50" s="3111"/>
      <c r="E50" s="1437" t="s">
        <v>1799</v>
      </c>
      <c r="F50" s="1414"/>
      <c r="G50" s="1414"/>
      <c r="H50" s="1424"/>
      <c r="I50" s="1438" t="s">
        <v>1800</v>
      </c>
      <c r="J50" s="1438" t="s">
        <v>1801</v>
      </c>
      <c r="K50" s="1459">
        <v>1</v>
      </c>
      <c r="L50" s="1462">
        <v>0.27</v>
      </c>
      <c r="M50" s="1326">
        <v>0</v>
      </c>
      <c r="N50" s="1334">
        <v>0</v>
      </c>
      <c r="O50" s="3113"/>
      <c r="P50" s="1311">
        <v>730255053</v>
      </c>
      <c r="Q50" s="1311">
        <v>730255053</v>
      </c>
      <c r="R50" s="1311">
        <v>0</v>
      </c>
      <c r="S50" s="1311">
        <v>0</v>
      </c>
      <c r="T50" s="1312">
        <f t="shared" si="6"/>
        <v>0</v>
      </c>
      <c r="U50" s="1312">
        <f t="shared" si="6"/>
        <v>0</v>
      </c>
      <c r="V50" s="1446"/>
      <c r="W50" s="1446"/>
      <c r="X50" s="1303"/>
      <c r="Y50" s="3107"/>
    </row>
    <row r="51" spans="1:25">
      <c r="A51" s="1425"/>
      <c r="B51" s="1426">
        <v>5202004</v>
      </c>
      <c r="C51" s="1444" t="s">
        <v>116</v>
      </c>
      <c r="D51" s="1410" t="s">
        <v>1802</v>
      </c>
      <c r="E51" s="1427"/>
      <c r="F51" s="1412"/>
      <c r="G51" s="1415"/>
      <c r="H51" s="1439"/>
      <c r="I51" s="1438"/>
      <c r="J51" s="1440"/>
      <c r="K51" s="1440"/>
      <c r="L51" s="1462"/>
      <c r="M51" s="1335"/>
      <c r="N51" s="1463"/>
      <c r="O51" s="1310"/>
      <c r="P51" s="1436"/>
      <c r="Q51" s="1336"/>
      <c r="R51" s="1336"/>
      <c r="S51" s="1336"/>
      <c r="T51" s="1312"/>
      <c r="U51" s="1312"/>
      <c r="V51" s="1443"/>
      <c r="W51" s="1443"/>
      <c r="X51" s="1303"/>
      <c r="Y51" s="1425"/>
    </row>
    <row r="52" spans="1:25" ht="27.6">
      <c r="A52" s="1425"/>
      <c r="B52" s="1433">
        <v>52020040008</v>
      </c>
      <c r="C52" s="1422" t="s">
        <v>117</v>
      </c>
      <c r="D52" s="1412" t="s">
        <v>1803</v>
      </c>
      <c r="E52" s="1427"/>
      <c r="F52" s="1451"/>
      <c r="G52" s="1415"/>
      <c r="H52" s="1439"/>
      <c r="I52" s="1438"/>
      <c r="J52" s="1440"/>
      <c r="K52" s="1440"/>
      <c r="L52" s="1462"/>
      <c r="M52" s="1326"/>
      <c r="N52" s="1315"/>
      <c r="O52" s="1310"/>
      <c r="P52" s="1436"/>
      <c r="Q52" s="1311"/>
      <c r="R52" s="1311"/>
      <c r="S52" s="1311"/>
      <c r="T52" s="1312"/>
      <c r="U52" s="1312"/>
      <c r="V52" s="1443"/>
      <c r="W52" s="1443"/>
      <c r="X52" s="1303"/>
      <c r="Y52" s="1425"/>
    </row>
    <row r="53" spans="1:25">
      <c r="A53" s="3109">
        <v>4145</v>
      </c>
      <c r="B53" s="3115"/>
      <c r="C53" s="3109" t="s">
        <v>123</v>
      </c>
      <c r="D53" s="3111" t="s">
        <v>1804</v>
      </c>
      <c r="E53" s="1437" t="s">
        <v>1805</v>
      </c>
      <c r="F53" s="1414"/>
      <c r="G53" s="1439"/>
      <c r="H53" s="1439"/>
      <c r="I53" s="1438"/>
      <c r="J53" s="1440"/>
      <c r="K53" s="1417">
        <f>SUM(K54)</f>
        <v>1000</v>
      </c>
      <c r="L53" s="1462">
        <f>SUM(L54:L57)</f>
        <v>1</v>
      </c>
      <c r="M53" s="1326">
        <v>0</v>
      </c>
      <c r="N53" s="1315">
        <f>SUM(N54:N57)</f>
        <v>1.7333333333333333E-2</v>
      </c>
      <c r="O53" s="3113">
        <f>IF(Q53&gt;0,N53,"na")</f>
        <v>1.7333333333333333E-2</v>
      </c>
      <c r="P53" s="1441">
        <f>SUM(P54:P57)</f>
        <v>800600000</v>
      </c>
      <c r="Q53" s="1311">
        <f>SUM(Q54:Q57)</f>
        <v>800600000</v>
      </c>
      <c r="R53" s="1311">
        <f>SUM(R54:R57)</f>
        <v>34238000</v>
      </c>
      <c r="S53" s="1311">
        <f>SUM(S54:S57)</f>
        <v>24569000</v>
      </c>
      <c r="T53" s="1312">
        <f t="shared" si="6"/>
        <v>4.2765425930552083E-2</v>
      </c>
      <c r="U53" s="1312">
        <f t="shared" si="6"/>
        <v>0.71759448565920902</v>
      </c>
      <c r="V53" s="1419"/>
      <c r="W53" s="1419"/>
      <c r="X53" s="1303"/>
      <c r="Y53" s="1425"/>
    </row>
    <row r="54" spans="1:25" ht="79.2">
      <c r="A54" s="3109"/>
      <c r="B54" s="3115"/>
      <c r="C54" s="3109"/>
      <c r="D54" s="3111"/>
      <c r="E54" s="1437" t="s">
        <v>1806</v>
      </c>
      <c r="F54" s="1414"/>
      <c r="G54" s="1415" t="s">
        <v>1803</v>
      </c>
      <c r="H54" s="1439"/>
      <c r="I54" s="1440" t="s">
        <v>1807</v>
      </c>
      <c r="J54" s="1440" t="s">
        <v>1808</v>
      </c>
      <c r="K54" s="1417">
        <v>1000</v>
      </c>
      <c r="L54" s="1462">
        <v>0.64</v>
      </c>
      <c r="M54" s="1417">
        <v>0</v>
      </c>
      <c r="N54" s="1315">
        <v>0</v>
      </c>
      <c r="O54" s="3113"/>
      <c r="P54" s="1311">
        <v>486533260</v>
      </c>
      <c r="Q54" s="1311">
        <v>486533260</v>
      </c>
      <c r="R54" s="1311">
        <v>0</v>
      </c>
      <c r="S54" s="1311">
        <v>0</v>
      </c>
      <c r="T54" s="1312">
        <f t="shared" si="6"/>
        <v>0</v>
      </c>
      <c r="U54" s="1312">
        <f t="shared" si="6"/>
        <v>0</v>
      </c>
      <c r="V54" s="1443"/>
      <c r="W54" s="1443"/>
      <c r="X54" s="1303"/>
      <c r="Y54" s="3107" t="s">
        <v>1752</v>
      </c>
    </row>
    <row r="55" spans="1:25" ht="66">
      <c r="A55" s="3109"/>
      <c r="B55" s="3115"/>
      <c r="C55" s="3109"/>
      <c r="D55" s="3111"/>
      <c r="E55" s="1437" t="s">
        <v>1809</v>
      </c>
      <c r="F55" s="1414"/>
      <c r="G55" s="1414"/>
      <c r="H55" s="1424"/>
      <c r="I55" s="1440" t="s">
        <v>1810</v>
      </c>
      <c r="J55" s="1440" t="s">
        <v>1811</v>
      </c>
      <c r="K55" s="1417">
        <v>37</v>
      </c>
      <c r="L55" s="1462">
        <v>0.12</v>
      </c>
      <c r="M55" s="1417">
        <v>0</v>
      </c>
      <c r="N55" s="1315">
        <v>0</v>
      </c>
      <c r="O55" s="3113"/>
      <c r="P55" s="1311">
        <v>50306740</v>
      </c>
      <c r="Q55" s="1311">
        <v>50306740</v>
      </c>
      <c r="R55" s="1311">
        <v>0</v>
      </c>
      <c r="S55" s="1311">
        <v>0</v>
      </c>
      <c r="T55" s="1312">
        <f t="shared" si="6"/>
        <v>0</v>
      </c>
      <c r="U55" s="1312">
        <f t="shared" si="6"/>
        <v>0</v>
      </c>
      <c r="V55" s="1446"/>
      <c r="W55" s="1446"/>
      <c r="X55" s="1303"/>
      <c r="Y55" s="3107"/>
    </row>
    <row r="56" spans="1:25" ht="79.2">
      <c r="A56" s="3109"/>
      <c r="B56" s="3115"/>
      <c r="C56" s="3109"/>
      <c r="D56" s="3111"/>
      <c r="E56" s="1437" t="s">
        <v>1812</v>
      </c>
      <c r="F56" s="1414"/>
      <c r="G56" s="1414"/>
      <c r="H56" s="1424"/>
      <c r="I56" s="1440" t="s">
        <v>1813</v>
      </c>
      <c r="J56" s="1440" t="s">
        <v>1737</v>
      </c>
      <c r="K56" s="1417">
        <v>30</v>
      </c>
      <c r="L56" s="1462">
        <v>0.13</v>
      </c>
      <c r="M56" s="1417">
        <v>4</v>
      </c>
      <c r="N56" s="1315">
        <v>1.7333333333333333E-2</v>
      </c>
      <c r="O56" s="3113"/>
      <c r="P56" s="1311">
        <v>115306800</v>
      </c>
      <c r="Q56" s="1311">
        <v>115306800</v>
      </c>
      <c r="R56" s="1311">
        <v>20924000</v>
      </c>
      <c r="S56" s="1311">
        <v>15693000</v>
      </c>
      <c r="T56" s="1312">
        <f t="shared" si="6"/>
        <v>0.18146371246101706</v>
      </c>
      <c r="U56" s="1312">
        <f t="shared" si="6"/>
        <v>0.75</v>
      </c>
      <c r="V56" s="1443">
        <v>45306</v>
      </c>
      <c r="W56" s="1443">
        <v>45657</v>
      </c>
      <c r="X56" s="1303" t="s">
        <v>1814</v>
      </c>
      <c r="Y56" s="3107"/>
    </row>
    <row r="57" spans="1:25" ht="79.2">
      <c r="A57" s="3109"/>
      <c r="B57" s="3115"/>
      <c r="C57" s="3109"/>
      <c r="D57" s="3111"/>
      <c r="E57" s="1437" t="s">
        <v>1815</v>
      </c>
      <c r="F57" s="1414"/>
      <c r="G57" s="1414"/>
      <c r="H57" s="1424"/>
      <c r="I57" s="1440" t="s">
        <v>1816</v>
      </c>
      <c r="J57" s="1440" t="s">
        <v>1817</v>
      </c>
      <c r="K57" s="1417">
        <v>60</v>
      </c>
      <c r="L57" s="1462">
        <v>0.11</v>
      </c>
      <c r="M57" s="1417">
        <v>0</v>
      </c>
      <c r="N57" s="1315">
        <v>0</v>
      </c>
      <c r="O57" s="3113"/>
      <c r="P57" s="1311">
        <v>148453200</v>
      </c>
      <c r="Q57" s="1311">
        <v>148453200</v>
      </c>
      <c r="R57" s="1311">
        <v>13314000</v>
      </c>
      <c r="S57" s="1311">
        <v>8876000</v>
      </c>
      <c r="T57" s="1312">
        <f t="shared" si="6"/>
        <v>8.9684829966615739E-2</v>
      </c>
      <c r="U57" s="1312">
        <f t="shared" si="6"/>
        <v>0.66666666666666663</v>
      </c>
      <c r="V57" s="1443">
        <v>45306</v>
      </c>
      <c r="W57" s="1443">
        <v>45657</v>
      </c>
      <c r="X57" s="1303" t="s">
        <v>1818</v>
      </c>
      <c r="Y57" s="3107"/>
    </row>
    <row r="58" spans="1:25" ht="27.6">
      <c r="A58" s="1425"/>
      <c r="B58" s="1444">
        <v>5202005</v>
      </c>
      <c r="C58" s="1444" t="s">
        <v>116</v>
      </c>
      <c r="D58" s="1410" t="s">
        <v>1391</v>
      </c>
      <c r="E58" s="1427"/>
      <c r="F58" s="1412"/>
      <c r="G58" s="1438"/>
      <c r="H58" s="1438"/>
      <c r="I58" s="1438"/>
      <c r="J58" s="1440"/>
      <c r="K58" s="1440"/>
      <c r="L58" s="1462"/>
      <c r="M58" s="1337"/>
      <c r="N58" s="1315"/>
      <c r="O58" s="1310"/>
      <c r="P58" s="1436"/>
      <c r="Q58" s="1311"/>
      <c r="R58" s="1327"/>
      <c r="S58" s="1327"/>
      <c r="T58" s="1312"/>
      <c r="U58" s="1312"/>
      <c r="V58" s="1432"/>
      <c r="W58" s="1432"/>
      <c r="X58" s="1303"/>
      <c r="Y58" s="1425"/>
    </row>
    <row r="59" spans="1:25" ht="41.4">
      <c r="A59" s="1425"/>
      <c r="B59" s="1422">
        <v>52020050003</v>
      </c>
      <c r="C59" s="1422" t="s">
        <v>117</v>
      </c>
      <c r="D59" s="1412" t="s">
        <v>1819</v>
      </c>
      <c r="E59" s="1427"/>
      <c r="F59" s="1451"/>
      <c r="G59" s="1438"/>
      <c r="H59" s="1438"/>
      <c r="I59" s="1438"/>
      <c r="J59" s="1440"/>
      <c r="K59" s="1440"/>
      <c r="L59" s="1462"/>
      <c r="M59" s="1337"/>
      <c r="N59" s="1315"/>
      <c r="O59" s="1310"/>
      <c r="P59" s="1436"/>
      <c r="Q59" s="1311"/>
      <c r="R59" s="1327"/>
      <c r="S59" s="1327"/>
      <c r="T59" s="1338"/>
      <c r="U59" s="1312"/>
      <c r="V59" s="1432"/>
      <c r="W59" s="1432"/>
      <c r="X59" s="1303"/>
      <c r="Y59" s="1425"/>
    </row>
    <row r="60" spans="1:25">
      <c r="A60" s="3109">
        <v>4145</v>
      </c>
      <c r="B60" s="3115"/>
      <c r="C60" s="3109" t="s">
        <v>123</v>
      </c>
      <c r="D60" s="3111" t="s">
        <v>1820</v>
      </c>
      <c r="E60" s="1437" t="s">
        <v>1821</v>
      </c>
      <c r="F60" s="1425"/>
      <c r="G60" s="1434"/>
      <c r="H60" s="1464"/>
      <c r="I60" s="1434"/>
      <c r="J60" s="1423"/>
      <c r="K60" s="1441">
        <f>SUM(K63)</f>
        <v>1900</v>
      </c>
      <c r="L60" s="1442">
        <f>SUM(L61:L66)</f>
        <v>1</v>
      </c>
      <c r="M60" s="1337"/>
      <c r="N60" s="1315">
        <f>SUM(N61:N66)</f>
        <v>1E-3</v>
      </c>
      <c r="O60" s="3113">
        <f>IF(Q60&gt;0,N60,"na")</f>
        <v>1E-3</v>
      </c>
      <c r="P60" s="1417">
        <f>SUM(P61:P66)</f>
        <v>2542932975</v>
      </c>
      <c r="Q60" s="1311">
        <f>SUM(Q61:Q66)</f>
        <v>2542932975</v>
      </c>
      <c r="R60" s="1327">
        <f>SUM(R61:R66)</f>
        <v>159083428</v>
      </c>
      <c r="S60" s="1327">
        <f>SUM(S61:S66)</f>
        <v>62398613</v>
      </c>
      <c r="T60" s="1312">
        <f t="shared" ref="T60:U66" si="7">IF(Q60=0,0,R60/Q60)</f>
        <v>6.2559033039398138E-2</v>
      </c>
      <c r="U60" s="1312">
        <f t="shared" si="7"/>
        <v>0.39223829775657088</v>
      </c>
      <c r="V60" s="1465"/>
      <c r="W60" s="1465"/>
      <c r="X60" s="1303"/>
      <c r="Y60" s="3107" t="s">
        <v>1752</v>
      </c>
    </row>
    <row r="61" spans="1:25" ht="52.8">
      <c r="A61" s="3109"/>
      <c r="B61" s="3115"/>
      <c r="C61" s="3109"/>
      <c r="D61" s="3111"/>
      <c r="E61" s="1437" t="s">
        <v>1824</v>
      </c>
      <c r="F61" s="1415"/>
      <c r="G61" s="1440"/>
      <c r="H61" s="1423"/>
      <c r="I61" s="1438" t="s">
        <v>1825</v>
      </c>
      <c r="J61" s="1438" t="s">
        <v>1826</v>
      </c>
      <c r="K61" s="1441">
        <v>45</v>
      </c>
      <c r="L61" s="1442">
        <v>0.18</v>
      </c>
      <c r="M61" s="1326">
        <v>0</v>
      </c>
      <c r="N61" s="1310">
        <v>0</v>
      </c>
      <c r="O61" s="3113"/>
      <c r="P61" s="1441">
        <v>327876800</v>
      </c>
      <c r="Q61" s="1311">
        <v>327876800</v>
      </c>
      <c r="R61" s="1311">
        <v>13314000</v>
      </c>
      <c r="S61" s="1311">
        <v>8876000</v>
      </c>
      <c r="T61" s="1312">
        <f t="shared" si="7"/>
        <v>4.0606715693211594E-2</v>
      </c>
      <c r="U61" s="1312">
        <f t="shared" si="7"/>
        <v>0.66666666666666663</v>
      </c>
      <c r="V61" s="1443">
        <v>45323</v>
      </c>
      <c r="W61" s="1443">
        <v>45657</v>
      </c>
      <c r="X61" s="1303" t="s">
        <v>1827</v>
      </c>
      <c r="Y61" s="3107"/>
    </row>
    <row r="62" spans="1:25" ht="92.4">
      <c r="A62" s="3109"/>
      <c r="B62" s="3115"/>
      <c r="C62" s="3109"/>
      <c r="D62" s="3111"/>
      <c r="E62" s="1437" t="s">
        <v>1828</v>
      </c>
      <c r="F62" s="1415"/>
      <c r="G62" s="1440"/>
      <c r="H62" s="1439"/>
      <c r="I62" s="1438" t="s">
        <v>1829</v>
      </c>
      <c r="J62" s="1438" t="s">
        <v>1830</v>
      </c>
      <c r="K62" s="1441">
        <v>40</v>
      </c>
      <c r="L62" s="1442">
        <v>0.04</v>
      </c>
      <c r="M62" s="1326">
        <v>1</v>
      </c>
      <c r="N62" s="1315">
        <v>1E-3</v>
      </c>
      <c r="O62" s="3113"/>
      <c r="P62" s="1441">
        <v>104189100</v>
      </c>
      <c r="Q62" s="1311">
        <v>104189100</v>
      </c>
      <c r="R62" s="1311">
        <v>8876000</v>
      </c>
      <c r="S62" s="1311">
        <v>0</v>
      </c>
      <c r="T62" s="1312">
        <f t="shared" si="7"/>
        <v>8.5191253211708326E-2</v>
      </c>
      <c r="U62" s="1312">
        <f t="shared" si="7"/>
        <v>0</v>
      </c>
      <c r="V62" s="1446"/>
      <c r="W62" s="1446"/>
      <c r="X62" s="1303" t="s">
        <v>1831</v>
      </c>
      <c r="Y62" s="3107"/>
    </row>
    <row r="63" spans="1:25" ht="118.8">
      <c r="A63" s="3109"/>
      <c r="B63" s="3115"/>
      <c r="C63" s="3109"/>
      <c r="D63" s="3111"/>
      <c r="E63" s="1437" t="s">
        <v>1832</v>
      </c>
      <c r="F63" s="1415"/>
      <c r="G63" s="1438" t="s">
        <v>1833</v>
      </c>
      <c r="H63" s="1439"/>
      <c r="I63" s="1438" t="s">
        <v>1834</v>
      </c>
      <c r="J63" s="1438" t="s">
        <v>1835</v>
      </c>
      <c r="K63" s="1441">
        <v>1900</v>
      </c>
      <c r="L63" s="1442">
        <v>0.68</v>
      </c>
      <c r="M63" s="1326">
        <v>0</v>
      </c>
      <c r="N63" s="1315">
        <v>0</v>
      </c>
      <c r="O63" s="3113"/>
      <c r="P63" s="1441">
        <v>1779241673</v>
      </c>
      <c r="Q63" s="1311">
        <v>1779241673</v>
      </c>
      <c r="R63" s="1311">
        <v>115834428</v>
      </c>
      <c r="S63" s="1311">
        <v>43060613</v>
      </c>
      <c r="T63" s="1312">
        <f t="shared" si="7"/>
        <v>6.5103257054838548E-2</v>
      </c>
      <c r="U63" s="1312">
        <f t="shared" si="7"/>
        <v>0.37174278617752571</v>
      </c>
      <c r="V63" s="1446">
        <v>45323</v>
      </c>
      <c r="W63" s="1446">
        <v>45657</v>
      </c>
      <c r="X63" s="1303" t="s">
        <v>1836</v>
      </c>
      <c r="Y63" s="3107"/>
    </row>
    <row r="64" spans="1:25" ht="105.6">
      <c r="A64" s="3109"/>
      <c r="B64" s="3115"/>
      <c r="C64" s="3109"/>
      <c r="D64" s="3111"/>
      <c r="E64" s="1437" t="s">
        <v>1837</v>
      </c>
      <c r="F64" s="1414"/>
      <c r="G64" s="1440"/>
      <c r="H64" s="1439"/>
      <c r="I64" s="1438" t="s">
        <v>1838</v>
      </c>
      <c r="J64" s="1438" t="s">
        <v>1839</v>
      </c>
      <c r="K64" s="1441">
        <v>200</v>
      </c>
      <c r="L64" s="1442">
        <v>0.05</v>
      </c>
      <c r="M64" s="1326">
        <v>0</v>
      </c>
      <c r="N64" s="1324">
        <v>0</v>
      </c>
      <c r="O64" s="3113"/>
      <c r="P64" s="1441">
        <v>225380488</v>
      </c>
      <c r="Q64" s="1311">
        <v>225380488</v>
      </c>
      <c r="R64" s="1311">
        <v>21059000</v>
      </c>
      <c r="S64" s="1311">
        <v>10462000</v>
      </c>
      <c r="T64" s="1312">
        <f t="shared" si="7"/>
        <v>9.3437547264517418E-2</v>
      </c>
      <c r="U64" s="1312">
        <f t="shared" si="7"/>
        <v>0.4967947195973218</v>
      </c>
      <c r="V64" s="1446">
        <v>45323</v>
      </c>
      <c r="W64" s="1446">
        <v>45657</v>
      </c>
      <c r="X64" s="1303" t="s">
        <v>1840</v>
      </c>
      <c r="Y64" s="3107"/>
    </row>
    <row r="65" spans="1:25" ht="52.8">
      <c r="A65" s="3109"/>
      <c r="B65" s="3115"/>
      <c r="C65" s="3109"/>
      <c r="D65" s="3111"/>
      <c r="E65" s="1437" t="s">
        <v>1841</v>
      </c>
      <c r="F65" s="1414"/>
      <c r="G65" s="1440"/>
      <c r="H65" s="1439"/>
      <c r="I65" s="1438" t="s">
        <v>1842</v>
      </c>
      <c r="J65" s="1438" t="s">
        <v>1843</v>
      </c>
      <c r="K65" s="1441">
        <v>5</v>
      </c>
      <c r="L65" s="1442">
        <v>0.03</v>
      </c>
      <c r="M65" s="1326">
        <v>0</v>
      </c>
      <c r="N65" s="1315">
        <v>0</v>
      </c>
      <c r="O65" s="3113"/>
      <c r="P65" s="1441">
        <v>67220334</v>
      </c>
      <c r="Q65" s="1311">
        <v>67220334</v>
      </c>
      <c r="R65" s="1311">
        <v>0</v>
      </c>
      <c r="S65" s="1311">
        <v>0</v>
      </c>
      <c r="T65" s="1312">
        <f t="shared" si="7"/>
        <v>0</v>
      </c>
      <c r="U65" s="1312">
        <f t="shared" si="7"/>
        <v>0</v>
      </c>
      <c r="V65" s="1446"/>
      <c r="W65" s="1446"/>
      <c r="X65" s="1303"/>
      <c r="Y65" s="3107"/>
    </row>
    <row r="66" spans="1:25" ht="66">
      <c r="A66" s="3109"/>
      <c r="B66" s="3115"/>
      <c r="C66" s="3109"/>
      <c r="D66" s="3111"/>
      <c r="E66" s="1437" t="s">
        <v>1844</v>
      </c>
      <c r="F66" s="1414"/>
      <c r="G66" s="1440"/>
      <c r="H66" s="1439"/>
      <c r="I66" s="1438" t="s">
        <v>1845</v>
      </c>
      <c r="J66" s="1438" t="s">
        <v>1846</v>
      </c>
      <c r="K66" s="1441">
        <v>15</v>
      </c>
      <c r="L66" s="1442">
        <v>0.02</v>
      </c>
      <c r="M66" s="1326">
        <v>0</v>
      </c>
      <c r="N66" s="1315">
        <v>0</v>
      </c>
      <c r="O66" s="3113"/>
      <c r="P66" s="1441">
        <v>39024580</v>
      </c>
      <c r="Q66" s="1311">
        <v>39024580</v>
      </c>
      <c r="R66" s="1311">
        <v>0</v>
      </c>
      <c r="S66" s="1311">
        <v>0</v>
      </c>
      <c r="T66" s="1312">
        <f t="shared" si="7"/>
        <v>0</v>
      </c>
      <c r="U66" s="1312">
        <f t="shared" si="7"/>
        <v>0</v>
      </c>
      <c r="V66" s="1446"/>
      <c r="W66" s="1446"/>
      <c r="X66" s="1303"/>
      <c r="Y66" s="3107"/>
    </row>
    <row r="67" spans="1:25">
      <c r="A67" s="1425"/>
      <c r="B67" s="1426">
        <v>5202006</v>
      </c>
      <c r="C67" s="1444" t="s">
        <v>116</v>
      </c>
      <c r="D67" s="1466" t="s">
        <v>1847</v>
      </c>
      <c r="E67" s="1427"/>
      <c r="F67" s="1412"/>
      <c r="G67" s="1467"/>
      <c r="H67" s="1439"/>
      <c r="I67" s="1438"/>
      <c r="J67" s="1440"/>
      <c r="K67" s="1436"/>
      <c r="L67" s="1468"/>
      <c r="M67" s="1326"/>
      <c r="N67" s="1315"/>
      <c r="O67" s="1310"/>
      <c r="P67" s="1469"/>
      <c r="Q67" s="1336"/>
      <c r="R67" s="1336"/>
      <c r="S67" s="1336"/>
      <c r="T67" s="1312"/>
      <c r="U67" s="1312"/>
      <c r="V67" s="1470"/>
      <c r="W67" s="1470"/>
      <c r="X67" s="1303"/>
      <c r="Y67" s="1425"/>
    </row>
    <row r="68" spans="1:25" ht="27.6">
      <c r="A68" s="1425"/>
      <c r="B68" s="1433">
        <v>52020060006</v>
      </c>
      <c r="C68" s="1422" t="s">
        <v>117</v>
      </c>
      <c r="D68" s="1471" t="s">
        <v>1848</v>
      </c>
      <c r="E68" s="1427"/>
      <c r="F68" s="1413"/>
      <c r="G68" s="1467"/>
      <c r="H68" s="1439"/>
      <c r="I68" s="1438"/>
      <c r="J68" s="1440"/>
      <c r="K68" s="1436"/>
      <c r="L68" s="1468"/>
      <c r="M68" s="1326"/>
      <c r="N68" s="1315"/>
      <c r="O68" s="1310"/>
      <c r="P68" s="1469"/>
      <c r="Q68" s="1311"/>
      <c r="R68" s="1327"/>
      <c r="S68" s="1327"/>
      <c r="T68" s="1339"/>
      <c r="U68" s="1312"/>
      <c r="V68" s="1470"/>
      <c r="W68" s="1470"/>
      <c r="X68" s="1303"/>
      <c r="Y68" s="1425"/>
    </row>
    <row r="69" spans="1:25">
      <c r="A69" s="3109">
        <v>4145</v>
      </c>
      <c r="B69" s="3115"/>
      <c r="C69" s="3109" t="s">
        <v>123</v>
      </c>
      <c r="D69" s="3122" t="s">
        <v>1849</v>
      </c>
      <c r="E69" s="1437" t="s">
        <v>1850</v>
      </c>
      <c r="F69" s="1414"/>
      <c r="G69" s="1440"/>
      <c r="H69" s="1416"/>
      <c r="I69" s="1438"/>
      <c r="J69" s="1440"/>
      <c r="K69" s="1441">
        <f>SUM(K70:K71)</f>
        <v>9</v>
      </c>
      <c r="L69" s="1468">
        <f>SUM(L70:L71)</f>
        <v>1</v>
      </c>
      <c r="M69" s="1326"/>
      <c r="N69" s="1315">
        <f>SUM(N70:N71)</f>
        <v>0</v>
      </c>
      <c r="O69" s="3113">
        <f>IF(Q69&gt;0,N69,"na")</f>
        <v>0</v>
      </c>
      <c r="P69" s="1472">
        <f>SUM(P70:P71)</f>
        <v>305000000</v>
      </c>
      <c r="Q69" s="1311">
        <f>SUM(Q70:Q71)</f>
        <v>305000000</v>
      </c>
      <c r="R69" s="1327">
        <f>SUM(R70:R71)</f>
        <v>0</v>
      </c>
      <c r="S69" s="1327">
        <f>SUM(S70:S71)</f>
        <v>0</v>
      </c>
      <c r="T69" s="1339">
        <f t="shared" ref="T69:U71" si="8">IF(Q69=0,0,R69/Q69)</f>
        <v>0</v>
      </c>
      <c r="U69" s="1312">
        <f t="shared" si="8"/>
        <v>0</v>
      </c>
      <c r="V69" s="1473"/>
      <c r="W69" s="1473"/>
      <c r="X69" s="1303"/>
      <c r="Y69" s="3107" t="s">
        <v>1752</v>
      </c>
    </row>
    <row r="70" spans="1:25" ht="92.4">
      <c r="A70" s="3109"/>
      <c r="B70" s="3115"/>
      <c r="C70" s="3109"/>
      <c r="D70" s="3122"/>
      <c r="E70" s="1437" t="s">
        <v>1851</v>
      </c>
      <c r="F70" s="1414"/>
      <c r="G70" s="1438" t="s">
        <v>1852</v>
      </c>
      <c r="H70" s="1416"/>
      <c r="I70" s="1438" t="s">
        <v>1853</v>
      </c>
      <c r="J70" s="1438" t="s">
        <v>1854</v>
      </c>
      <c r="K70" s="1441">
        <v>5</v>
      </c>
      <c r="L70" s="1468">
        <v>0.51</v>
      </c>
      <c r="M70" s="1343">
        <v>0</v>
      </c>
      <c r="N70" s="1310">
        <v>0</v>
      </c>
      <c r="O70" s="3113"/>
      <c r="P70" s="1474">
        <v>156800800</v>
      </c>
      <c r="Q70" s="1340">
        <v>156800800</v>
      </c>
      <c r="R70" s="1311">
        <v>0</v>
      </c>
      <c r="S70" s="1311">
        <v>0</v>
      </c>
      <c r="T70" s="1312">
        <f t="shared" si="8"/>
        <v>0</v>
      </c>
      <c r="U70" s="1312">
        <f t="shared" si="8"/>
        <v>0</v>
      </c>
      <c r="V70" s="1470"/>
      <c r="W70" s="1470"/>
      <c r="X70" s="1303"/>
      <c r="Y70" s="3107"/>
    </row>
    <row r="71" spans="1:25" ht="52.8">
      <c r="A71" s="3109"/>
      <c r="B71" s="3115"/>
      <c r="C71" s="3109"/>
      <c r="D71" s="3122"/>
      <c r="E71" s="1437" t="s">
        <v>1855</v>
      </c>
      <c r="F71" s="1414"/>
      <c r="G71" s="1440"/>
      <c r="H71" s="1475"/>
      <c r="I71" s="1438" t="s">
        <v>1856</v>
      </c>
      <c r="J71" s="1438" t="s">
        <v>1857</v>
      </c>
      <c r="K71" s="1441">
        <v>4</v>
      </c>
      <c r="L71" s="1468">
        <v>0.49</v>
      </c>
      <c r="M71" s="1343">
        <v>0</v>
      </c>
      <c r="N71" s="1310">
        <v>0</v>
      </c>
      <c r="O71" s="3113"/>
      <c r="P71" s="1474">
        <v>148199200</v>
      </c>
      <c r="Q71" s="1340">
        <v>148199200</v>
      </c>
      <c r="R71" s="1311">
        <v>0</v>
      </c>
      <c r="S71" s="1311">
        <v>0</v>
      </c>
      <c r="T71" s="1312">
        <f t="shared" si="8"/>
        <v>0</v>
      </c>
      <c r="U71" s="1312">
        <f t="shared" si="8"/>
        <v>0</v>
      </c>
      <c r="V71" s="1470"/>
      <c r="W71" s="1470"/>
      <c r="X71" s="1303"/>
      <c r="Y71" s="3107"/>
    </row>
    <row r="72" spans="1:25" ht="27.6">
      <c r="A72" s="1425"/>
      <c r="B72" s="1426">
        <v>5202007</v>
      </c>
      <c r="C72" s="1444" t="s">
        <v>116</v>
      </c>
      <c r="D72" s="1466" t="s">
        <v>1858</v>
      </c>
      <c r="E72" s="1427"/>
      <c r="F72" s="1432"/>
      <c r="G72" s="1438"/>
      <c r="H72" s="1438"/>
      <c r="I72" s="1438"/>
      <c r="J72" s="1440"/>
      <c r="K72" s="1423"/>
      <c r="L72" s="1468"/>
      <c r="M72" s="1326"/>
      <c r="N72" s="1324"/>
      <c r="O72" s="1310"/>
      <c r="P72" s="1469"/>
      <c r="Q72" s="1320"/>
      <c r="R72" s="1320"/>
      <c r="S72" s="1320"/>
      <c r="T72" s="1312"/>
      <c r="U72" s="1312"/>
      <c r="V72" s="1476"/>
      <c r="W72" s="1476"/>
      <c r="X72" s="1303"/>
      <c r="Y72" s="1425"/>
    </row>
    <row r="73" spans="1:25" ht="27.6">
      <c r="A73" s="1425"/>
      <c r="B73" s="1433">
        <v>52020070005</v>
      </c>
      <c r="C73" s="1422" t="s">
        <v>117</v>
      </c>
      <c r="D73" s="1471" t="s">
        <v>1859</v>
      </c>
      <c r="E73" s="1427"/>
      <c r="F73" s="1413"/>
      <c r="G73" s="1438"/>
      <c r="H73" s="1438"/>
      <c r="I73" s="1438"/>
      <c r="J73" s="1440"/>
      <c r="K73" s="1423"/>
      <c r="L73" s="1468"/>
      <c r="M73" s="1326"/>
      <c r="N73" s="1315"/>
      <c r="O73" s="1310"/>
      <c r="P73" s="1469"/>
      <c r="Q73" s="1311"/>
      <c r="R73" s="1327"/>
      <c r="S73" s="1327"/>
      <c r="T73" s="1312"/>
      <c r="U73" s="1312"/>
      <c r="V73" s="1476"/>
      <c r="W73" s="1476"/>
      <c r="X73" s="1303"/>
      <c r="Y73" s="1425"/>
    </row>
    <row r="74" spans="1:25">
      <c r="A74" s="3109">
        <v>4145</v>
      </c>
      <c r="B74" s="3115"/>
      <c r="C74" s="3109" t="s">
        <v>123</v>
      </c>
      <c r="D74" s="3122" t="s">
        <v>1860</v>
      </c>
      <c r="E74" s="1437" t="s">
        <v>1861</v>
      </c>
      <c r="F74" s="1425"/>
      <c r="G74" s="1438"/>
      <c r="H74" s="1416"/>
      <c r="I74" s="1438"/>
      <c r="J74" s="1440"/>
      <c r="K74" s="1477">
        <f>SUM(K75)</f>
        <v>9</v>
      </c>
      <c r="L74" s="1478">
        <f>SUM(L75:L77)</f>
        <v>1</v>
      </c>
      <c r="M74" s="1326"/>
      <c r="N74" s="1315">
        <f>SUM(N75:N77)</f>
        <v>0</v>
      </c>
      <c r="O74" s="3113">
        <f>IF(Q74&gt;0,N74,"na")</f>
        <v>0</v>
      </c>
      <c r="P74" s="1472">
        <f>SUM(P75:P77)</f>
        <v>366000000</v>
      </c>
      <c r="Q74" s="1311">
        <f>SUM(Q75:Q77)</f>
        <v>366000000</v>
      </c>
      <c r="R74" s="1327">
        <f>SUM(R75:R77)</f>
        <v>0</v>
      </c>
      <c r="S74" s="1327">
        <f>SUM(S75:S77)</f>
        <v>0</v>
      </c>
      <c r="T74" s="1312">
        <f t="shared" ref="T74:U89" si="9">IF(Q74=0,0,R74/Q74)</f>
        <v>0</v>
      </c>
      <c r="U74" s="1312">
        <f t="shared" si="9"/>
        <v>0</v>
      </c>
      <c r="V74" s="1473"/>
      <c r="W74" s="1473"/>
      <c r="X74" s="1303"/>
      <c r="Y74" s="3107" t="s">
        <v>1752</v>
      </c>
    </row>
    <row r="75" spans="1:25" ht="66">
      <c r="A75" s="3109"/>
      <c r="B75" s="3115"/>
      <c r="C75" s="3109"/>
      <c r="D75" s="3122"/>
      <c r="E75" s="1437" t="s">
        <v>1862</v>
      </c>
      <c r="F75" s="1425"/>
      <c r="G75" s="1438" t="s">
        <v>1863</v>
      </c>
      <c r="H75" s="1416"/>
      <c r="I75" s="1438" t="s">
        <v>1864</v>
      </c>
      <c r="J75" s="1438" t="s">
        <v>1846</v>
      </c>
      <c r="K75" s="1477">
        <v>9</v>
      </c>
      <c r="L75" s="1478">
        <v>0.18</v>
      </c>
      <c r="M75" s="1326">
        <v>0</v>
      </c>
      <c r="N75" s="1315">
        <v>0</v>
      </c>
      <c r="O75" s="3113"/>
      <c r="P75" s="1474">
        <v>66650000</v>
      </c>
      <c r="Q75" s="1341">
        <v>66650000</v>
      </c>
      <c r="R75" s="1311">
        <v>0</v>
      </c>
      <c r="S75" s="1311">
        <v>0</v>
      </c>
      <c r="T75" s="1312">
        <f t="shared" si="9"/>
        <v>0</v>
      </c>
      <c r="U75" s="1312">
        <f t="shared" si="9"/>
        <v>0</v>
      </c>
      <c r="V75" s="1476"/>
      <c r="W75" s="1476"/>
      <c r="X75" s="1303"/>
      <c r="Y75" s="3107"/>
    </row>
    <row r="76" spans="1:25" ht="39.6">
      <c r="A76" s="3109"/>
      <c r="B76" s="3115"/>
      <c r="C76" s="3109"/>
      <c r="D76" s="3122"/>
      <c r="E76" s="1437" t="s">
        <v>1865</v>
      </c>
      <c r="F76" s="1425"/>
      <c r="G76" s="1440"/>
      <c r="H76" s="1467"/>
      <c r="I76" s="1438" t="s">
        <v>1866</v>
      </c>
      <c r="J76" s="1438" t="s">
        <v>1839</v>
      </c>
      <c r="K76" s="1477">
        <v>150</v>
      </c>
      <c r="L76" s="1478">
        <v>0.2</v>
      </c>
      <c r="M76" s="1326">
        <v>0</v>
      </c>
      <c r="N76" s="1315">
        <v>0</v>
      </c>
      <c r="O76" s="3113"/>
      <c r="P76" s="1474">
        <v>70750000</v>
      </c>
      <c r="Q76" s="1341">
        <v>70750000</v>
      </c>
      <c r="R76" s="1311">
        <v>0</v>
      </c>
      <c r="S76" s="1311">
        <v>0</v>
      </c>
      <c r="T76" s="1312">
        <f t="shared" si="9"/>
        <v>0</v>
      </c>
      <c r="U76" s="1312">
        <f t="shared" si="9"/>
        <v>0</v>
      </c>
      <c r="V76" s="1470"/>
      <c r="W76" s="1470"/>
      <c r="X76" s="1303"/>
      <c r="Y76" s="3107"/>
    </row>
    <row r="77" spans="1:25" ht="66">
      <c r="A77" s="3109"/>
      <c r="B77" s="3115"/>
      <c r="C77" s="3109"/>
      <c r="D77" s="3122"/>
      <c r="E77" s="1437" t="s">
        <v>1867</v>
      </c>
      <c r="F77" s="1425"/>
      <c r="G77" s="1440"/>
      <c r="H77" s="1467"/>
      <c r="I77" s="1438" t="s">
        <v>1868</v>
      </c>
      <c r="J77" s="1438" t="s">
        <v>1869</v>
      </c>
      <c r="K77" s="1477">
        <v>9</v>
      </c>
      <c r="L77" s="1478">
        <v>0.62</v>
      </c>
      <c r="M77" s="1326">
        <v>0</v>
      </c>
      <c r="N77" s="1315">
        <v>0</v>
      </c>
      <c r="O77" s="3113"/>
      <c r="P77" s="1474">
        <v>228600000</v>
      </c>
      <c r="Q77" s="1341">
        <v>228600000</v>
      </c>
      <c r="R77" s="1311">
        <v>0</v>
      </c>
      <c r="S77" s="1311">
        <v>0</v>
      </c>
      <c r="T77" s="1312">
        <f t="shared" si="9"/>
        <v>0</v>
      </c>
      <c r="U77" s="1312">
        <f t="shared" si="9"/>
        <v>0</v>
      </c>
      <c r="V77" s="1470"/>
      <c r="W77" s="1470"/>
      <c r="X77" s="1303"/>
      <c r="Y77" s="3107"/>
    </row>
    <row r="78" spans="1:25" ht="15.6">
      <c r="A78" s="1425"/>
      <c r="B78" s="1479">
        <v>5203</v>
      </c>
      <c r="C78" s="1420" t="s">
        <v>115</v>
      </c>
      <c r="D78" s="1480" t="s">
        <v>163</v>
      </c>
      <c r="E78" s="1427"/>
      <c r="F78" s="1422"/>
      <c r="G78" s="1438"/>
      <c r="H78" s="1438"/>
      <c r="I78" s="1438"/>
      <c r="J78" s="1440"/>
      <c r="K78" s="1423"/>
      <c r="L78" s="1481"/>
      <c r="M78" s="1326"/>
      <c r="N78" s="1315"/>
      <c r="O78" s="1310"/>
      <c r="P78" s="1469"/>
      <c r="Q78" s="1311"/>
      <c r="R78" s="1327"/>
      <c r="S78" s="1327"/>
      <c r="T78" s="1312"/>
      <c r="U78" s="1312"/>
      <c r="V78" s="1482"/>
      <c r="W78" s="1482"/>
      <c r="X78" s="1303"/>
      <c r="Y78" s="1425"/>
    </row>
    <row r="79" spans="1:25">
      <c r="A79" s="1425"/>
      <c r="B79" s="1426">
        <v>5203001</v>
      </c>
      <c r="C79" s="1444" t="s">
        <v>116</v>
      </c>
      <c r="D79" s="1466" t="s">
        <v>1870</v>
      </c>
      <c r="E79" s="1427"/>
      <c r="F79" s="1422"/>
      <c r="G79" s="1438"/>
      <c r="H79" s="1438"/>
      <c r="I79" s="1438"/>
      <c r="J79" s="1440"/>
      <c r="K79" s="1423"/>
      <c r="L79" s="1481"/>
      <c r="M79" s="1326"/>
      <c r="N79" s="1324"/>
      <c r="O79" s="1310"/>
      <c r="P79" s="1469"/>
      <c r="Q79" s="1320"/>
      <c r="R79" s="1320"/>
      <c r="S79" s="1320"/>
      <c r="T79" s="1312"/>
      <c r="U79" s="1312"/>
      <c r="V79" s="1482"/>
      <c r="W79" s="1482"/>
      <c r="X79" s="1303"/>
      <c r="Y79" s="1425"/>
    </row>
    <row r="80" spans="1:25" ht="27.6">
      <c r="A80" s="1425"/>
      <c r="B80" s="1433">
        <v>52030010001</v>
      </c>
      <c r="C80" s="1422" t="s">
        <v>117</v>
      </c>
      <c r="D80" s="1471" t="s">
        <v>1871</v>
      </c>
      <c r="E80" s="1427"/>
      <c r="F80" s="1435"/>
      <c r="G80" s="1438"/>
      <c r="H80" s="1438"/>
      <c r="I80" s="1438"/>
      <c r="J80" s="1440"/>
      <c r="K80" s="1423"/>
      <c r="L80" s="1481"/>
      <c r="M80" s="1326"/>
      <c r="N80" s="1315"/>
      <c r="O80" s="1310"/>
      <c r="P80" s="1469"/>
      <c r="Q80" s="1311"/>
      <c r="R80" s="1311"/>
      <c r="S80" s="1311"/>
      <c r="T80" s="1312"/>
      <c r="U80" s="1312"/>
      <c r="V80" s="1482"/>
      <c r="W80" s="1482"/>
      <c r="X80" s="1303"/>
      <c r="Y80" s="1425"/>
    </row>
    <row r="81" spans="1:25">
      <c r="A81" s="3109">
        <v>4145</v>
      </c>
      <c r="B81" s="3115"/>
      <c r="C81" s="3109" t="s">
        <v>123</v>
      </c>
      <c r="D81" s="3122" t="s">
        <v>1872</v>
      </c>
      <c r="E81" s="1437" t="s">
        <v>1873</v>
      </c>
      <c r="F81" s="1425"/>
      <c r="G81" s="1434"/>
      <c r="H81" s="1464"/>
      <c r="I81" s="1434"/>
      <c r="J81" s="1423"/>
      <c r="K81" s="1441">
        <f>SUM(K84)</f>
        <v>1000</v>
      </c>
      <c r="L81" s="1478">
        <f>SUM(L82:L84)</f>
        <v>1</v>
      </c>
      <c r="M81" s="1326"/>
      <c r="N81" s="1315">
        <f>SUM(N82:N84)</f>
        <v>0</v>
      </c>
      <c r="O81" s="3113">
        <f>IF(Q81&gt;0,N81,"na")</f>
        <v>0</v>
      </c>
      <c r="P81" s="1441">
        <f>SUM(P82:P84)</f>
        <v>2572618056</v>
      </c>
      <c r="Q81" s="1441">
        <f>SUM(Q82:Q84)</f>
        <v>2572618056</v>
      </c>
      <c r="R81" s="1441">
        <f>SUM(R82:R84)</f>
        <v>416150000</v>
      </c>
      <c r="S81" s="1441">
        <f>SUM(S82:S84)</f>
        <v>52942000</v>
      </c>
      <c r="T81" s="1312">
        <f t="shared" si="9"/>
        <v>0.16176128400771825</v>
      </c>
      <c r="U81" s="1312">
        <f t="shared" si="9"/>
        <v>0.12721855100324403</v>
      </c>
      <c r="V81" s="1473"/>
      <c r="W81" s="1473"/>
      <c r="X81" s="1303"/>
      <c r="Y81" s="3107" t="s">
        <v>1752</v>
      </c>
    </row>
    <row r="82" spans="1:25" ht="39.6">
      <c r="A82" s="3109"/>
      <c r="B82" s="3115"/>
      <c r="C82" s="3109"/>
      <c r="D82" s="3122"/>
      <c r="E82" s="1437" t="s">
        <v>1874</v>
      </c>
      <c r="F82" s="1415"/>
      <c r="G82" s="1414"/>
      <c r="H82" s="1464"/>
      <c r="I82" s="1414" t="s">
        <v>1875</v>
      </c>
      <c r="J82" s="1415" t="s">
        <v>120</v>
      </c>
      <c r="K82" s="1441">
        <v>300</v>
      </c>
      <c r="L82" s="1468">
        <v>0.01</v>
      </c>
      <c r="M82" s="1326">
        <v>0</v>
      </c>
      <c r="N82" s="1324">
        <v>0</v>
      </c>
      <c r="O82" s="3113"/>
      <c r="P82" s="1472">
        <v>33000000</v>
      </c>
      <c r="Q82" s="1320">
        <v>33000000</v>
      </c>
      <c r="R82" s="1320">
        <v>0</v>
      </c>
      <c r="S82" s="1320">
        <v>0</v>
      </c>
      <c r="T82" s="1312">
        <f t="shared" si="9"/>
        <v>0</v>
      </c>
      <c r="U82" s="1312">
        <f t="shared" si="9"/>
        <v>0</v>
      </c>
      <c r="V82" s="1470"/>
      <c r="W82" s="1470"/>
      <c r="X82" s="1303"/>
      <c r="Y82" s="3107"/>
    </row>
    <row r="83" spans="1:25" ht="52.8">
      <c r="A83" s="3109"/>
      <c r="B83" s="3115"/>
      <c r="C83" s="3109"/>
      <c r="D83" s="3122"/>
      <c r="E83" s="1437" t="s">
        <v>1876</v>
      </c>
      <c r="F83" s="1425"/>
      <c r="G83" s="1414"/>
      <c r="H83" s="1464"/>
      <c r="I83" s="1414" t="s">
        <v>1729</v>
      </c>
      <c r="J83" s="1415" t="s">
        <v>1730</v>
      </c>
      <c r="K83" s="1441">
        <v>1</v>
      </c>
      <c r="L83" s="1468">
        <v>0.71</v>
      </c>
      <c r="M83" s="1326">
        <v>0</v>
      </c>
      <c r="N83" s="1315">
        <v>0</v>
      </c>
      <c r="O83" s="3113"/>
      <c r="P83" s="1472">
        <v>1819203706</v>
      </c>
      <c r="Q83" s="1320">
        <v>1819203706</v>
      </c>
      <c r="R83" s="1320">
        <v>95738000</v>
      </c>
      <c r="S83" s="1320">
        <v>52942000</v>
      </c>
      <c r="T83" s="1312">
        <f t="shared" si="9"/>
        <v>5.2626321991452674E-2</v>
      </c>
      <c r="U83" s="1312">
        <f t="shared" si="9"/>
        <v>0.55298836407696006</v>
      </c>
      <c r="V83" s="1470" t="s">
        <v>1822</v>
      </c>
      <c r="W83" s="1470" t="s">
        <v>1823</v>
      </c>
      <c r="X83" s="1303" t="s">
        <v>1877</v>
      </c>
      <c r="Y83" s="3107"/>
    </row>
    <row r="84" spans="1:25" ht="66">
      <c r="A84" s="3109"/>
      <c r="B84" s="3115"/>
      <c r="C84" s="3109"/>
      <c r="D84" s="3122"/>
      <c r="E84" s="1437" t="s">
        <v>1878</v>
      </c>
      <c r="F84" s="1415"/>
      <c r="G84" s="1415" t="s">
        <v>1879</v>
      </c>
      <c r="H84" s="1464"/>
      <c r="I84" s="1414" t="s">
        <v>1880</v>
      </c>
      <c r="J84" s="1415" t="s">
        <v>1721</v>
      </c>
      <c r="K84" s="1441">
        <v>1000</v>
      </c>
      <c r="L84" s="1468">
        <v>0.28000000000000003</v>
      </c>
      <c r="M84" s="1326">
        <v>0</v>
      </c>
      <c r="N84" s="1315">
        <v>0</v>
      </c>
      <c r="O84" s="3113"/>
      <c r="P84" s="1472">
        <v>720414350</v>
      </c>
      <c r="Q84" s="1320">
        <v>720414350</v>
      </c>
      <c r="R84" s="1320">
        <v>320412000</v>
      </c>
      <c r="S84" s="1320">
        <v>0</v>
      </c>
      <c r="T84" s="1312">
        <f t="shared" si="9"/>
        <v>0.44476071305353648</v>
      </c>
      <c r="U84" s="1312">
        <f t="shared" si="9"/>
        <v>0</v>
      </c>
      <c r="V84" s="1470"/>
      <c r="W84" s="1470"/>
      <c r="X84" s="1303" t="s">
        <v>1881</v>
      </c>
      <c r="Y84" s="3107"/>
    </row>
    <row r="85" spans="1:25" ht="41.4">
      <c r="A85" s="1425"/>
      <c r="B85" s="1433">
        <v>52030010002</v>
      </c>
      <c r="C85" s="1422" t="s">
        <v>117</v>
      </c>
      <c r="D85" s="1471" t="s">
        <v>1882</v>
      </c>
      <c r="E85" s="1427"/>
      <c r="F85" s="1451"/>
      <c r="G85" s="1434"/>
      <c r="H85" s="1434"/>
      <c r="I85" s="1434"/>
      <c r="J85" s="1423"/>
      <c r="K85" s="1483"/>
      <c r="L85" s="1468"/>
      <c r="M85" s="1326"/>
      <c r="N85" s="1315"/>
      <c r="O85" s="1484"/>
      <c r="P85" s="1469"/>
      <c r="Q85" s="1320"/>
      <c r="R85" s="1320"/>
      <c r="S85" s="1320"/>
      <c r="T85" s="1312"/>
      <c r="U85" s="1312"/>
      <c r="V85" s="1476"/>
      <c r="W85" s="1476"/>
      <c r="X85" s="1303"/>
      <c r="Y85" s="1473"/>
    </row>
    <row r="86" spans="1:25">
      <c r="A86" s="3109">
        <v>4145</v>
      </c>
      <c r="B86" s="3109"/>
      <c r="C86" s="3109" t="s">
        <v>123</v>
      </c>
      <c r="D86" s="3111" t="s">
        <v>1883</v>
      </c>
      <c r="E86" s="1437" t="s">
        <v>1884</v>
      </c>
      <c r="F86" s="1438"/>
      <c r="G86" s="1414"/>
      <c r="H86" s="1439"/>
      <c r="I86" s="1414"/>
      <c r="J86" s="1414"/>
      <c r="K86" s="1441">
        <f>+K87</f>
        <v>6500</v>
      </c>
      <c r="L86" s="1468">
        <f>SUM(L87:L90)</f>
        <v>1</v>
      </c>
      <c r="M86" s="1326"/>
      <c r="N86" s="1315">
        <f>SUM(N87:N90)</f>
        <v>9.8945054945054942E-2</v>
      </c>
      <c r="O86" s="3113">
        <f>IF(Q86&gt;0,N86,"na")</f>
        <v>9.8945054945054942E-2</v>
      </c>
      <c r="P86" s="1472">
        <f>SUM(P87:P90)</f>
        <v>500000000</v>
      </c>
      <c r="Q86" s="1311">
        <f t="shared" ref="Q86:S86" si="10">SUM(Q87:Q90)</f>
        <v>500000000</v>
      </c>
      <c r="R86" s="1311">
        <f t="shared" si="10"/>
        <v>62464000</v>
      </c>
      <c r="S86" s="1311">
        <f t="shared" si="10"/>
        <v>31653000</v>
      </c>
      <c r="T86" s="1312">
        <f t="shared" si="9"/>
        <v>0.124928</v>
      </c>
      <c r="U86" s="1312">
        <f t="shared" si="9"/>
        <v>0.50673988217213117</v>
      </c>
      <c r="V86" s="1473"/>
      <c r="W86" s="1473"/>
      <c r="X86" s="1303"/>
      <c r="Y86" s="3107" t="s">
        <v>1752</v>
      </c>
    </row>
    <row r="87" spans="1:25" ht="79.2">
      <c r="A87" s="3109"/>
      <c r="B87" s="3109"/>
      <c r="C87" s="3109"/>
      <c r="D87" s="3111"/>
      <c r="E87" s="1437" t="s">
        <v>1885</v>
      </c>
      <c r="F87" s="1438"/>
      <c r="G87" s="1415" t="s">
        <v>1886</v>
      </c>
      <c r="H87" s="1464"/>
      <c r="I87" s="1414" t="s">
        <v>1887</v>
      </c>
      <c r="J87" s="1415" t="s">
        <v>1888</v>
      </c>
      <c r="K87" s="1441">
        <v>6500</v>
      </c>
      <c r="L87" s="1468">
        <v>0.4</v>
      </c>
      <c r="M87" s="1326">
        <v>98</v>
      </c>
      <c r="N87" s="1315">
        <v>6.030769230769231E-3</v>
      </c>
      <c r="O87" s="3113"/>
      <c r="P87" s="1472">
        <v>188694450</v>
      </c>
      <c r="Q87" s="1320">
        <v>188694450</v>
      </c>
      <c r="R87" s="1320">
        <v>30604500</v>
      </c>
      <c r="S87" s="1320">
        <v>15617334</v>
      </c>
      <c r="T87" s="1312">
        <f t="shared" si="9"/>
        <v>0.1621907798560053</v>
      </c>
      <c r="U87" s="1312">
        <f t="shared" si="9"/>
        <v>0.51029534872322702</v>
      </c>
      <c r="V87" s="1473"/>
      <c r="W87" s="1473"/>
      <c r="X87" s="1303" t="s">
        <v>1889</v>
      </c>
      <c r="Y87" s="3107"/>
    </row>
    <row r="88" spans="1:25" ht="39.6">
      <c r="A88" s="3109"/>
      <c r="B88" s="3109"/>
      <c r="C88" s="3109"/>
      <c r="D88" s="3111"/>
      <c r="E88" s="1437" t="s">
        <v>1890</v>
      </c>
      <c r="F88" s="1438"/>
      <c r="G88" s="1414"/>
      <c r="H88" s="1436"/>
      <c r="I88" s="1414" t="s">
        <v>1891</v>
      </c>
      <c r="J88" s="1415" t="s">
        <v>1782</v>
      </c>
      <c r="K88" s="1441">
        <v>1</v>
      </c>
      <c r="L88" s="1468">
        <v>0.2</v>
      </c>
      <c r="M88" s="1343">
        <v>0.25</v>
      </c>
      <c r="N88" s="1310">
        <v>0.05</v>
      </c>
      <c r="O88" s="3113"/>
      <c r="P88" s="1472">
        <v>169978340</v>
      </c>
      <c r="Q88" s="1320">
        <v>169978340</v>
      </c>
      <c r="R88" s="1320">
        <v>11095000</v>
      </c>
      <c r="S88" s="1320">
        <v>3698333</v>
      </c>
      <c r="T88" s="1312">
        <f t="shared" si="9"/>
        <v>6.5273022433328859E-2</v>
      </c>
      <c r="U88" s="1312">
        <f t="shared" si="9"/>
        <v>0.33333330328977018</v>
      </c>
      <c r="V88" s="1473" t="s">
        <v>1822</v>
      </c>
      <c r="W88" s="1473" t="s">
        <v>1823</v>
      </c>
      <c r="X88" s="1303" t="s">
        <v>1892</v>
      </c>
      <c r="Y88" s="3107"/>
    </row>
    <row r="89" spans="1:25" ht="52.8">
      <c r="A89" s="3109"/>
      <c r="B89" s="3109"/>
      <c r="C89" s="3109"/>
      <c r="D89" s="3111"/>
      <c r="E89" s="1437" t="s">
        <v>1893</v>
      </c>
      <c r="F89" s="1438"/>
      <c r="G89" s="1414"/>
      <c r="H89" s="1436"/>
      <c r="I89" s="1414" t="s">
        <v>1894</v>
      </c>
      <c r="J89" s="1415" t="s">
        <v>120</v>
      </c>
      <c r="K89" s="1441">
        <v>7000</v>
      </c>
      <c r="L89" s="1468">
        <v>0.2</v>
      </c>
      <c r="M89" s="1343">
        <v>1012</v>
      </c>
      <c r="N89" s="1310">
        <v>2.8914285714285715E-2</v>
      </c>
      <c r="O89" s="3113"/>
      <c r="P89" s="1472">
        <v>94800520</v>
      </c>
      <c r="Q89" s="1320">
        <v>94800520</v>
      </c>
      <c r="R89" s="1320">
        <v>20764500</v>
      </c>
      <c r="S89" s="1320">
        <v>12337333</v>
      </c>
      <c r="T89" s="1312">
        <f t="shared" si="9"/>
        <v>0.21903360867640811</v>
      </c>
      <c r="U89" s="1312">
        <f t="shared" si="9"/>
        <v>0.59415507235907439</v>
      </c>
      <c r="V89" s="1473" t="s">
        <v>1822</v>
      </c>
      <c r="W89" s="1473" t="s">
        <v>1823</v>
      </c>
      <c r="X89" s="1303" t="s">
        <v>1895</v>
      </c>
      <c r="Y89" s="3107"/>
    </row>
    <row r="90" spans="1:25" ht="66">
      <c r="A90" s="3109"/>
      <c r="B90" s="3109"/>
      <c r="C90" s="3109"/>
      <c r="D90" s="3111"/>
      <c r="E90" s="1437" t="s">
        <v>1896</v>
      </c>
      <c r="F90" s="1438"/>
      <c r="G90" s="1414"/>
      <c r="H90" s="1436"/>
      <c r="I90" s="1530" t="s">
        <v>1897</v>
      </c>
      <c r="J90" s="1415" t="s">
        <v>1898</v>
      </c>
      <c r="K90" s="1441">
        <v>2</v>
      </c>
      <c r="L90" s="1468">
        <v>0.2</v>
      </c>
      <c r="M90" s="1326">
        <v>0.14000000000000001</v>
      </c>
      <c r="N90" s="1324">
        <v>1.4000000000000002E-2</v>
      </c>
      <c r="O90" s="3113"/>
      <c r="P90" s="1472">
        <v>46526690</v>
      </c>
      <c r="Q90" s="1320">
        <v>46526690</v>
      </c>
      <c r="R90" s="1320">
        <v>0</v>
      </c>
      <c r="S90" s="1320">
        <v>0</v>
      </c>
      <c r="T90" s="1312">
        <f t="shared" ref="T90:U94" si="11">IF(Q90=0,0,R90/Q90)</f>
        <v>0</v>
      </c>
      <c r="U90" s="1312">
        <f t="shared" si="11"/>
        <v>0</v>
      </c>
      <c r="V90" s="1473" t="s">
        <v>1822</v>
      </c>
      <c r="W90" s="1473" t="s">
        <v>1823</v>
      </c>
      <c r="X90" s="1303" t="s">
        <v>1899</v>
      </c>
      <c r="Y90" s="3107"/>
    </row>
    <row r="91" spans="1:25" ht="27.6">
      <c r="A91" s="1425"/>
      <c r="B91" s="1422">
        <v>52030010003</v>
      </c>
      <c r="C91" s="1422" t="s">
        <v>117</v>
      </c>
      <c r="D91" s="1412" t="s">
        <v>1900</v>
      </c>
      <c r="E91" s="1427"/>
      <c r="F91" s="1451"/>
      <c r="G91" s="1414"/>
      <c r="H91" s="1414"/>
      <c r="I91" s="1414"/>
      <c r="J91" s="1414"/>
      <c r="K91" s="1483"/>
      <c r="L91" s="1468"/>
      <c r="M91" s="1326"/>
      <c r="N91" s="1315"/>
      <c r="O91" s="1310"/>
      <c r="P91" s="1469"/>
      <c r="Q91" s="1311"/>
      <c r="R91" s="1327"/>
      <c r="S91" s="1327"/>
      <c r="T91" s="1312"/>
      <c r="U91" s="1312"/>
      <c r="V91" s="1470"/>
      <c r="W91" s="1476"/>
      <c r="X91" s="1303"/>
      <c r="Y91" s="1425"/>
    </row>
    <row r="92" spans="1:25">
      <c r="A92" s="3109">
        <v>4145</v>
      </c>
      <c r="B92" s="3115"/>
      <c r="C92" s="3109" t="s">
        <v>123</v>
      </c>
      <c r="D92" s="3122" t="s">
        <v>1901</v>
      </c>
      <c r="E92" s="1437" t="s">
        <v>1902</v>
      </c>
      <c r="F92" s="1425"/>
      <c r="G92" s="1434"/>
      <c r="H92" s="1464"/>
      <c r="I92" s="1434"/>
      <c r="J92" s="1423"/>
      <c r="K92" s="1441">
        <f>SUM(K93:K94)</f>
        <v>251</v>
      </c>
      <c r="L92" s="1468">
        <f>SUM(L93:L94)</f>
        <v>1</v>
      </c>
      <c r="M92" s="1326"/>
      <c r="N92" s="1315">
        <f>SUM(N93:N94)</f>
        <v>1.935483870967742E-2</v>
      </c>
      <c r="O92" s="3113">
        <f>IF(Q92&gt;0,N92,"na")</f>
        <v>1.935483870967742E-2</v>
      </c>
      <c r="P92" s="1485">
        <f>SUM(P93:P94)</f>
        <v>708740000</v>
      </c>
      <c r="Q92" s="1311">
        <f>SUM(Q93:Q94)</f>
        <v>708740000</v>
      </c>
      <c r="R92" s="1327">
        <f>SUM(R93:R94)</f>
        <v>43094000</v>
      </c>
      <c r="S92" s="1327">
        <f>SUM(S93:S94)</f>
        <v>26773000</v>
      </c>
      <c r="T92" s="1312">
        <f t="shared" si="11"/>
        <v>6.0803679769732201E-2</v>
      </c>
      <c r="U92" s="1312">
        <f t="shared" si="11"/>
        <v>0.62126978233628816</v>
      </c>
      <c r="V92" s="1473"/>
      <c r="W92" s="1473"/>
      <c r="X92" s="1303"/>
      <c r="Y92" s="3107" t="s">
        <v>1752</v>
      </c>
    </row>
    <row r="93" spans="1:25" ht="105.6">
      <c r="A93" s="3109"/>
      <c r="B93" s="3115"/>
      <c r="C93" s="3109"/>
      <c r="D93" s="3122"/>
      <c r="E93" s="1437" t="s">
        <v>1903</v>
      </c>
      <c r="F93" s="1423"/>
      <c r="G93" s="3123" t="s">
        <v>1904</v>
      </c>
      <c r="H93" s="3124"/>
      <c r="I93" s="1438" t="s">
        <v>1905</v>
      </c>
      <c r="J93" s="1438" t="s">
        <v>1906</v>
      </c>
      <c r="K93" s="1441">
        <v>220</v>
      </c>
      <c r="L93" s="1468">
        <v>0.88</v>
      </c>
      <c r="M93" s="1343">
        <v>0</v>
      </c>
      <c r="N93" s="1310">
        <v>0</v>
      </c>
      <c r="O93" s="3113"/>
      <c r="P93" s="1472">
        <v>609687200</v>
      </c>
      <c r="Q93" s="1327">
        <v>609687200</v>
      </c>
      <c r="R93" s="1327">
        <v>14407440</v>
      </c>
      <c r="S93" s="1327">
        <v>9814147</v>
      </c>
      <c r="T93" s="1312">
        <f t="shared" si="11"/>
        <v>2.3630871699455065E-2</v>
      </c>
      <c r="U93" s="1312">
        <f t="shared" si="11"/>
        <v>0.68118603999044935</v>
      </c>
      <c r="V93" s="1476" t="s">
        <v>1822</v>
      </c>
      <c r="W93" s="1476" t="s">
        <v>1823</v>
      </c>
      <c r="X93" s="1303" t="s">
        <v>1907</v>
      </c>
      <c r="Y93" s="3107"/>
    </row>
    <row r="94" spans="1:25" ht="92.4">
      <c r="A94" s="3109"/>
      <c r="B94" s="3115"/>
      <c r="C94" s="3109"/>
      <c r="D94" s="3122"/>
      <c r="E94" s="1437" t="s">
        <v>1908</v>
      </c>
      <c r="F94" s="1423"/>
      <c r="G94" s="3123"/>
      <c r="H94" s="3124"/>
      <c r="I94" s="1438" t="s">
        <v>1909</v>
      </c>
      <c r="J94" s="1438" t="s">
        <v>1910</v>
      </c>
      <c r="K94" s="1441">
        <v>31</v>
      </c>
      <c r="L94" s="1468">
        <v>0.12</v>
      </c>
      <c r="M94" s="1343">
        <v>5</v>
      </c>
      <c r="N94" s="1310">
        <v>1.935483870967742E-2</v>
      </c>
      <c r="O94" s="3113"/>
      <c r="P94" s="1472">
        <v>99052800</v>
      </c>
      <c r="Q94" s="1327">
        <v>99052800</v>
      </c>
      <c r="R94" s="1327">
        <v>28686560</v>
      </c>
      <c r="S94" s="1327">
        <v>16958853</v>
      </c>
      <c r="T94" s="1312">
        <f t="shared" si="11"/>
        <v>0.28960877431026683</v>
      </c>
      <c r="U94" s="1312">
        <f t="shared" si="11"/>
        <v>0.59117764555945362</v>
      </c>
      <c r="V94" s="1470" t="s">
        <v>1822</v>
      </c>
      <c r="W94" s="1470" t="s">
        <v>1823</v>
      </c>
      <c r="X94" s="1303" t="s">
        <v>1911</v>
      </c>
      <c r="Y94" s="3107"/>
    </row>
    <row r="95" spans="1:25">
      <c r="A95" s="1425"/>
      <c r="B95" s="1433">
        <v>52030010004</v>
      </c>
      <c r="C95" s="1422" t="s">
        <v>117</v>
      </c>
      <c r="D95" s="1471" t="s">
        <v>1912</v>
      </c>
      <c r="E95" s="1427"/>
      <c r="F95" s="1430"/>
      <c r="G95" s="1438"/>
      <c r="H95" s="1438"/>
      <c r="I95" s="1438"/>
      <c r="J95" s="1440"/>
      <c r="K95" s="1423"/>
      <c r="L95" s="1468"/>
      <c r="M95" s="1326"/>
      <c r="N95" s="1324"/>
      <c r="O95" s="1310"/>
      <c r="P95" s="1469"/>
      <c r="Q95" s="1311"/>
      <c r="R95" s="1311"/>
      <c r="S95" s="1311"/>
      <c r="T95" s="1312"/>
      <c r="U95" s="1312"/>
      <c r="V95" s="1476"/>
      <c r="W95" s="1476"/>
      <c r="X95" s="1303"/>
      <c r="Y95" s="1425"/>
    </row>
    <row r="96" spans="1:25">
      <c r="A96" s="3109">
        <v>4145</v>
      </c>
      <c r="B96" s="3115"/>
      <c r="C96" s="3109" t="s">
        <v>123</v>
      </c>
      <c r="D96" s="3122" t="s">
        <v>1913</v>
      </c>
      <c r="E96" s="1437" t="s">
        <v>1914</v>
      </c>
      <c r="F96" s="1453"/>
      <c r="G96" s="1434"/>
      <c r="H96" s="1453"/>
      <c r="I96" s="1434"/>
      <c r="J96" s="1423"/>
      <c r="K96" s="1441">
        <f>SUM(K99)</f>
        <v>12</v>
      </c>
      <c r="L96" s="1468">
        <f>SUM(L97:L99)</f>
        <v>1</v>
      </c>
      <c r="M96" s="1326"/>
      <c r="N96" s="1315">
        <f>SUM(N97:N99)</f>
        <v>6.9000000000000006E-2</v>
      </c>
      <c r="O96" s="3113">
        <f>IF(Q96&gt;0,N96,"na")</f>
        <v>6.9000000000000006E-2</v>
      </c>
      <c r="P96" s="1485">
        <f>SUM(P97:P99)</f>
        <v>1441656621</v>
      </c>
      <c r="Q96" s="1485">
        <f>SUM(Q97:Q99)</f>
        <v>1441656621</v>
      </c>
      <c r="R96" s="1485">
        <f>SUM(R97:R99)</f>
        <v>35306000</v>
      </c>
      <c r="S96" s="1485">
        <f>SUM(S97:S99)</f>
        <v>13314000</v>
      </c>
      <c r="T96" s="1312">
        <f t="shared" ref="T96:U99" si="12">IF(Q96=0,0,R96/Q96)</f>
        <v>2.4489881630419121E-2</v>
      </c>
      <c r="U96" s="1312">
        <f t="shared" si="12"/>
        <v>0.37710304197586814</v>
      </c>
      <c r="V96" s="1473"/>
      <c r="W96" s="1473"/>
      <c r="X96" s="1303"/>
      <c r="Y96" s="3107" t="s">
        <v>1752</v>
      </c>
    </row>
    <row r="97" spans="1:25" ht="66">
      <c r="A97" s="3109"/>
      <c r="B97" s="3115"/>
      <c r="C97" s="3109"/>
      <c r="D97" s="3122"/>
      <c r="E97" s="1437" t="s">
        <v>1915</v>
      </c>
      <c r="F97" s="1438"/>
      <c r="G97" s="1423"/>
      <c r="H97" s="1486"/>
      <c r="I97" s="1438" t="s">
        <v>1916</v>
      </c>
      <c r="J97" s="1438" t="s">
        <v>1917</v>
      </c>
      <c r="K97" s="1417">
        <v>2</v>
      </c>
      <c r="L97" s="1487">
        <v>0.38</v>
      </c>
      <c r="M97" s="1326">
        <v>0</v>
      </c>
      <c r="N97" s="1315">
        <v>0</v>
      </c>
      <c r="O97" s="3113"/>
      <c r="P97" s="1472">
        <v>540447005</v>
      </c>
      <c r="Q97" s="1311">
        <v>540447005</v>
      </c>
      <c r="R97" s="1311">
        <v>6014000</v>
      </c>
      <c r="S97" s="1311">
        <v>0</v>
      </c>
      <c r="T97" s="1312">
        <f t="shared" si="12"/>
        <v>1.1127825567282031E-2</v>
      </c>
      <c r="U97" s="1312">
        <f t="shared" si="12"/>
        <v>0</v>
      </c>
      <c r="V97" s="1476"/>
      <c r="W97" s="1476"/>
      <c r="X97" s="1303" t="s">
        <v>1918</v>
      </c>
      <c r="Y97" s="3107"/>
    </row>
    <row r="98" spans="1:25" ht="52.8">
      <c r="A98" s="3109"/>
      <c r="B98" s="3115"/>
      <c r="C98" s="3109"/>
      <c r="D98" s="3122"/>
      <c r="E98" s="1437" t="s">
        <v>1919</v>
      </c>
      <c r="F98" s="1438"/>
      <c r="G98" s="1440"/>
      <c r="H98" s="1453"/>
      <c r="I98" s="1438" t="s">
        <v>1920</v>
      </c>
      <c r="J98" s="1438" t="s">
        <v>120</v>
      </c>
      <c r="K98" s="1417">
        <v>100</v>
      </c>
      <c r="L98" s="1487">
        <v>0.46</v>
      </c>
      <c r="M98" s="1326">
        <v>15</v>
      </c>
      <c r="N98" s="1315">
        <v>6.9000000000000006E-2</v>
      </c>
      <c r="O98" s="3113"/>
      <c r="P98" s="1472">
        <v>664346224</v>
      </c>
      <c r="Q98" s="1311">
        <v>664346224</v>
      </c>
      <c r="R98" s="1311">
        <v>29292000</v>
      </c>
      <c r="S98" s="1311">
        <v>13314000</v>
      </c>
      <c r="T98" s="1312">
        <f t="shared" si="12"/>
        <v>4.4091467583926541E-2</v>
      </c>
      <c r="U98" s="1312">
        <f t="shared" si="12"/>
        <v>0.45452683326505533</v>
      </c>
      <c r="V98" s="1470" t="s">
        <v>1822</v>
      </c>
      <c r="W98" s="1470" t="s">
        <v>1823</v>
      </c>
      <c r="X98" s="1303" t="s">
        <v>1921</v>
      </c>
      <c r="Y98" s="3107"/>
    </row>
    <row r="99" spans="1:25" ht="92.4">
      <c r="A99" s="3109"/>
      <c r="B99" s="3115"/>
      <c r="C99" s="3109"/>
      <c r="D99" s="3122"/>
      <c r="E99" s="1437" t="s">
        <v>1922</v>
      </c>
      <c r="F99" s="1438"/>
      <c r="G99" s="1438" t="s">
        <v>1923</v>
      </c>
      <c r="H99" s="1453"/>
      <c r="I99" s="1438" t="s">
        <v>1924</v>
      </c>
      <c r="J99" s="1438" t="s">
        <v>1756</v>
      </c>
      <c r="K99" s="1417">
        <v>12</v>
      </c>
      <c r="L99" s="1487">
        <v>0.16</v>
      </c>
      <c r="M99" s="1343">
        <v>0</v>
      </c>
      <c r="N99" s="1310">
        <v>0</v>
      </c>
      <c r="O99" s="3113"/>
      <c r="P99" s="1472">
        <v>236863392</v>
      </c>
      <c r="Q99" s="1311">
        <v>236863392</v>
      </c>
      <c r="R99" s="1311">
        <v>0</v>
      </c>
      <c r="S99" s="1311">
        <v>0</v>
      </c>
      <c r="T99" s="1312">
        <f t="shared" si="12"/>
        <v>0</v>
      </c>
      <c r="U99" s="1312">
        <f t="shared" si="12"/>
        <v>0</v>
      </c>
      <c r="V99" s="1470"/>
      <c r="W99" s="1470"/>
      <c r="X99" s="1303"/>
      <c r="Y99" s="3107"/>
    </row>
    <row r="100" spans="1:25" ht="41.4">
      <c r="A100" s="1425"/>
      <c r="B100" s="1433">
        <v>52030010005</v>
      </c>
      <c r="C100" s="1422" t="s">
        <v>117</v>
      </c>
      <c r="D100" s="1471" t="s">
        <v>1925</v>
      </c>
      <c r="E100" s="1427"/>
      <c r="F100" s="1438"/>
      <c r="G100" s="1438"/>
      <c r="H100" s="1438"/>
      <c r="I100" s="1438"/>
      <c r="J100" s="1440"/>
      <c r="K100" s="1440"/>
      <c r="L100" s="1487"/>
      <c r="M100" s="1567"/>
      <c r="N100" s="1317"/>
      <c r="O100" s="1317"/>
      <c r="P100" s="1469"/>
      <c r="Q100" s="1568"/>
      <c r="R100" s="1568"/>
      <c r="S100" s="1568"/>
      <c r="T100" s="1306"/>
      <c r="U100" s="1306"/>
      <c r="V100" s="1470"/>
      <c r="W100" s="1476"/>
      <c r="X100" s="1303"/>
      <c r="Y100" s="1444"/>
    </row>
    <row r="101" spans="1:25">
      <c r="A101" s="3109">
        <v>4145</v>
      </c>
      <c r="B101" s="3115"/>
      <c r="C101" s="3109" t="s">
        <v>123</v>
      </c>
      <c r="D101" s="3111" t="s">
        <v>1926</v>
      </c>
      <c r="E101" s="1437" t="s">
        <v>1927</v>
      </c>
      <c r="F101" s="1425"/>
      <c r="G101" s="1434"/>
      <c r="H101" s="1464"/>
      <c r="I101" s="1434"/>
      <c r="J101" s="1423"/>
      <c r="K101" s="1441">
        <f>K102+K104+K103</f>
        <v>1071</v>
      </c>
      <c r="L101" s="1468">
        <f>SUM(L102:L104)</f>
        <v>1</v>
      </c>
      <c r="M101" s="1569"/>
      <c r="N101" s="1319">
        <f>SUM(N102:N104)</f>
        <v>0.12553150621358222</v>
      </c>
      <c r="O101" s="3120">
        <f>IF(Q101&gt;0,N101,"na")</f>
        <v>0.12553150621358222</v>
      </c>
      <c r="P101" s="1485">
        <f>SUM(P102:P104)</f>
        <v>2591771082</v>
      </c>
      <c r="Q101" s="1344">
        <f>SUM(Q102:Q104)</f>
        <v>2591771082</v>
      </c>
      <c r="R101" s="1344">
        <f>SUM(R102:R104)</f>
        <v>201844500</v>
      </c>
      <c r="S101" s="1344">
        <f>SUM(S102:S104)</f>
        <v>87019500</v>
      </c>
      <c r="T101" s="1308">
        <f t="shared" ref="T101:U104" si="13">IF(Q101=0,0,R101/Q101)</f>
        <v>7.7878984529853632E-2</v>
      </c>
      <c r="U101" s="1308">
        <f t="shared" si="13"/>
        <v>0.43112148213104645</v>
      </c>
      <c r="V101" s="1473"/>
      <c r="W101" s="1473"/>
      <c r="X101" s="1303"/>
      <c r="Y101" s="3107" t="s">
        <v>1752</v>
      </c>
    </row>
    <row r="102" spans="1:25" ht="145.19999999999999">
      <c r="A102" s="3109"/>
      <c r="B102" s="3115"/>
      <c r="C102" s="3109"/>
      <c r="D102" s="3111"/>
      <c r="E102" s="1437" t="s">
        <v>1928</v>
      </c>
      <c r="F102" s="1448"/>
      <c r="G102" s="1438" t="s">
        <v>1929</v>
      </c>
      <c r="H102" s="1439"/>
      <c r="I102" s="1438" t="s">
        <v>1930</v>
      </c>
      <c r="J102" s="1438" t="s">
        <v>1771</v>
      </c>
      <c r="K102" s="1417">
        <v>129</v>
      </c>
      <c r="L102" s="1468">
        <v>0.3</v>
      </c>
      <c r="M102" s="1326">
        <v>11</v>
      </c>
      <c r="N102" s="1345">
        <v>2.5581395348837209E-2</v>
      </c>
      <c r="O102" s="3120"/>
      <c r="P102" s="1472">
        <v>671413050</v>
      </c>
      <c r="Q102" s="1320">
        <v>671413050</v>
      </c>
      <c r="R102" s="1320">
        <v>102658620</v>
      </c>
      <c r="S102" s="1320">
        <v>37347540</v>
      </c>
      <c r="T102" s="1312">
        <f t="shared" si="13"/>
        <v>0.15289935159884069</v>
      </c>
      <c r="U102" s="1312">
        <f t="shared" si="13"/>
        <v>0.36380325393035673</v>
      </c>
      <c r="V102" s="1476" t="s">
        <v>1822</v>
      </c>
      <c r="W102" s="1476" t="s">
        <v>1823</v>
      </c>
      <c r="X102" s="1303" t="s">
        <v>1931</v>
      </c>
      <c r="Y102" s="3107"/>
    </row>
    <row r="103" spans="1:25" ht="92.4">
      <c r="A103" s="3109"/>
      <c r="B103" s="3115"/>
      <c r="C103" s="3109"/>
      <c r="D103" s="3111"/>
      <c r="E103" s="1437" t="s">
        <v>1932</v>
      </c>
      <c r="F103" s="1448"/>
      <c r="G103" s="1438"/>
      <c r="H103" s="1439"/>
      <c r="I103" s="1438" t="s">
        <v>1933</v>
      </c>
      <c r="J103" s="1438" t="s">
        <v>1846</v>
      </c>
      <c r="K103" s="1417">
        <v>40</v>
      </c>
      <c r="L103" s="1468">
        <v>0.3</v>
      </c>
      <c r="M103" s="1326">
        <v>7</v>
      </c>
      <c r="N103" s="1313">
        <v>5.2500000000000005E-2</v>
      </c>
      <c r="O103" s="3120"/>
      <c r="P103" s="1472">
        <v>409076472</v>
      </c>
      <c r="Q103" s="1320">
        <v>409076472</v>
      </c>
      <c r="R103" s="1320">
        <v>29505666</v>
      </c>
      <c r="S103" s="1320">
        <v>15522333</v>
      </c>
      <c r="T103" s="1312">
        <f t="shared" si="13"/>
        <v>7.2127506761131943E-2</v>
      </c>
      <c r="U103" s="1312">
        <f t="shared" si="13"/>
        <v>0.52607973668515062</v>
      </c>
      <c r="V103" s="1470" t="s">
        <v>1822</v>
      </c>
      <c r="W103" s="1470" t="s">
        <v>1823</v>
      </c>
      <c r="X103" s="1303" t="s">
        <v>1934</v>
      </c>
      <c r="Y103" s="3107"/>
    </row>
    <row r="104" spans="1:25" ht="118.8">
      <c r="A104" s="3109"/>
      <c r="B104" s="3115"/>
      <c r="C104" s="3109"/>
      <c r="D104" s="3111"/>
      <c r="E104" s="1437" t="s">
        <v>1935</v>
      </c>
      <c r="F104" s="1448"/>
      <c r="G104" s="1438"/>
      <c r="H104" s="1439"/>
      <c r="I104" s="1438" t="s">
        <v>1936</v>
      </c>
      <c r="J104" s="1438" t="s">
        <v>1937</v>
      </c>
      <c r="K104" s="1417">
        <v>902</v>
      </c>
      <c r="L104" s="1468">
        <v>0.4</v>
      </c>
      <c r="M104" s="1326">
        <v>107</v>
      </c>
      <c r="N104" s="1313">
        <v>4.7450110864745015E-2</v>
      </c>
      <c r="O104" s="3120"/>
      <c r="P104" s="1472">
        <v>1511281560</v>
      </c>
      <c r="Q104" s="1320">
        <v>1511281560</v>
      </c>
      <c r="R104" s="1320">
        <v>69680214</v>
      </c>
      <c r="S104" s="1320">
        <v>34149627</v>
      </c>
      <c r="T104" s="1312">
        <f t="shared" si="13"/>
        <v>4.6106705622743126E-2</v>
      </c>
      <c r="U104" s="1312">
        <f>IF(R104=0,0,S104/R104)</f>
        <v>0.4900907307776064</v>
      </c>
      <c r="V104" s="1470" t="s">
        <v>1822</v>
      </c>
      <c r="W104" s="1470" t="s">
        <v>1823</v>
      </c>
      <c r="X104" s="1303" t="s">
        <v>1938</v>
      </c>
      <c r="Y104" s="3107"/>
    </row>
    <row r="105" spans="1:25" ht="27.6">
      <c r="A105" s="1425"/>
      <c r="B105" s="1433">
        <v>52030010006</v>
      </c>
      <c r="C105" s="1422" t="s">
        <v>117</v>
      </c>
      <c r="D105" s="1412" t="s">
        <v>1939</v>
      </c>
      <c r="E105" s="1427"/>
      <c r="F105" s="1448"/>
      <c r="G105" s="1438"/>
      <c r="H105" s="1438"/>
      <c r="I105" s="1438"/>
      <c r="J105" s="1440"/>
      <c r="K105" s="1440"/>
      <c r="L105" s="1468"/>
      <c r="M105" s="1326"/>
      <c r="N105" s="1313"/>
      <c r="O105" s="1353"/>
      <c r="P105" s="1469"/>
      <c r="Q105" s="1311"/>
      <c r="R105" s="1311"/>
      <c r="S105" s="1311"/>
      <c r="T105" s="1312"/>
      <c r="U105" s="1312"/>
      <c r="V105" s="1470"/>
      <c r="W105" s="1476"/>
      <c r="X105" s="1303"/>
      <c r="Y105" s="1425"/>
    </row>
    <row r="106" spans="1:25">
      <c r="A106" s="3109">
        <v>4145</v>
      </c>
      <c r="B106" s="3115"/>
      <c r="C106" s="3109" t="s">
        <v>123</v>
      </c>
      <c r="D106" s="3122" t="s">
        <v>1940</v>
      </c>
      <c r="E106" s="1437" t="s">
        <v>1941</v>
      </c>
      <c r="F106" s="1453"/>
      <c r="G106" s="1434"/>
      <c r="H106" s="1464"/>
      <c r="I106" s="1434"/>
      <c r="J106" s="1423"/>
      <c r="K106" s="1417">
        <f>SUM(K107)</f>
        <v>1000</v>
      </c>
      <c r="L106" s="1468">
        <f>SUM(L107:L108)</f>
        <v>1</v>
      </c>
      <c r="M106" s="1343"/>
      <c r="N106" s="1310">
        <f>SUM(N107:N108)</f>
        <v>0.26050000000000001</v>
      </c>
      <c r="O106" s="3113">
        <f>IF(Q106&gt;0,N106,"na")</f>
        <v>0.26050000000000001</v>
      </c>
      <c r="P106" s="1472">
        <f>SUM(P107:P108)</f>
        <v>906200000</v>
      </c>
      <c r="Q106" s="1344">
        <f>SUM(Q107:Q108)</f>
        <v>906200000</v>
      </c>
      <c r="R106" s="1344">
        <f>SUM(R107:R108)</f>
        <v>235781500</v>
      </c>
      <c r="S106" s="1344">
        <f>SUM(S107:S108)</f>
        <v>88234500</v>
      </c>
      <c r="T106" s="1312">
        <f t="shared" ref="T106:U113" si="14">IF(Q106=0,0,R106/Q106)</f>
        <v>0.26018704480247185</v>
      </c>
      <c r="U106" s="1312">
        <f t="shared" si="14"/>
        <v>0.37422147199843925</v>
      </c>
      <c r="V106" s="1473"/>
      <c r="W106" s="1473"/>
      <c r="X106" s="1303"/>
      <c r="Y106" s="3107" t="s">
        <v>1752</v>
      </c>
    </row>
    <row r="107" spans="1:25" ht="132">
      <c r="A107" s="3109"/>
      <c r="B107" s="3115"/>
      <c r="C107" s="3109"/>
      <c r="D107" s="3122"/>
      <c r="E107" s="1437" t="s">
        <v>1942</v>
      </c>
      <c r="F107" s="1438"/>
      <c r="G107" s="1438" t="s">
        <v>1943</v>
      </c>
      <c r="H107" s="1464"/>
      <c r="I107" s="1488" t="s">
        <v>1944</v>
      </c>
      <c r="J107" s="1438" t="s">
        <v>1945</v>
      </c>
      <c r="K107" s="1441">
        <v>1000</v>
      </c>
      <c r="L107" s="1468">
        <v>0.5</v>
      </c>
      <c r="M107" s="1346">
        <v>271</v>
      </c>
      <c r="N107" s="1310">
        <v>0.13550000000000001</v>
      </c>
      <c r="O107" s="3113"/>
      <c r="P107" s="1472">
        <v>604134007</v>
      </c>
      <c r="Q107" s="1311">
        <v>604134007</v>
      </c>
      <c r="R107" s="1311">
        <v>156669500</v>
      </c>
      <c r="S107" s="1311">
        <v>37677500</v>
      </c>
      <c r="T107" s="1312">
        <f t="shared" si="14"/>
        <v>0.25932905313174998</v>
      </c>
      <c r="U107" s="1312">
        <f t="shared" si="14"/>
        <v>0.24049033155783353</v>
      </c>
      <c r="V107" s="1476" t="s">
        <v>1822</v>
      </c>
      <c r="W107" s="1476" t="s">
        <v>1823</v>
      </c>
      <c r="X107" s="1303" t="s">
        <v>1946</v>
      </c>
      <c r="Y107" s="3107"/>
    </row>
    <row r="108" spans="1:25" ht="39.6">
      <c r="A108" s="3109"/>
      <c r="B108" s="3115"/>
      <c r="C108" s="3109"/>
      <c r="D108" s="3122"/>
      <c r="E108" s="1437" t="s">
        <v>1947</v>
      </c>
      <c r="F108" s="1438"/>
      <c r="G108" s="1438"/>
      <c r="H108" s="1452"/>
      <c r="I108" s="1438" t="s">
        <v>1948</v>
      </c>
      <c r="J108" s="1438" t="s">
        <v>170</v>
      </c>
      <c r="K108" s="1441">
        <v>1</v>
      </c>
      <c r="L108" s="1468">
        <v>0.5</v>
      </c>
      <c r="M108" s="1336">
        <v>0.25</v>
      </c>
      <c r="N108" s="1347">
        <v>0.125</v>
      </c>
      <c r="O108" s="3113"/>
      <c r="P108" s="1472">
        <v>302065993</v>
      </c>
      <c r="Q108" s="1311">
        <v>302065993</v>
      </c>
      <c r="R108" s="1311">
        <v>79112000</v>
      </c>
      <c r="S108" s="1311">
        <v>50557000</v>
      </c>
      <c r="T108" s="1312">
        <f t="shared" si="14"/>
        <v>0.26190303388438696</v>
      </c>
      <c r="U108" s="1312">
        <f t="shared" si="14"/>
        <v>0.63905602184245125</v>
      </c>
      <c r="V108" s="1470" t="s">
        <v>1822</v>
      </c>
      <c r="W108" s="1470" t="s">
        <v>1823</v>
      </c>
      <c r="X108" s="1303" t="s">
        <v>1949</v>
      </c>
      <c r="Y108" s="3107"/>
    </row>
    <row r="109" spans="1:25" ht="41.4">
      <c r="A109" s="1425"/>
      <c r="B109" s="1433">
        <v>52030010007</v>
      </c>
      <c r="C109" s="1422" t="s">
        <v>117</v>
      </c>
      <c r="D109" s="1471" t="s">
        <v>1950</v>
      </c>
      <c r="E109" s="1427"/>
      <c r="F109" s="1448"/>
      <c r="G109" s="1438"/>
      <c r="H109" s="1438"/>
      <c r="I109" s="1438"/>
      <c r="J109" s="1440"/>
      <c r="K109" s="1423"/>
      <c r="L109" s="1468"/>
      <c r="M109" s="1348"/>
      <c r="N109" s="1315"/>
      <c r="O109" s="1310"/>
      <c r="P109" s="1469"/>
      <c r="Q109" s="1311"/>
      <c r="R109" s="1311"/>
      <c r="S109" s="1311"/>
      <c r="T109" s="1312"/>
      <c r="U109" s="1312"/>
      <c r="V109" s="1476"/>
      <c r="W109" s="1476"/>
      <c r="X109" s="1303"/>
      <c r="Y109" s="1425"/>
    </row>
    <row r="110" spans="1:25">
      <c r="A110" s="3109">
        <v>4145</v>
      </c>
      <c r="B110" s="3115"/>
      <c r="C110" s="3115" t="s">
        <v>123</v>
      </c>
      <c r="D110" s="3122" t="s">
        <v>1951</v>
      </c>
      <c r="E110" s="1437" t="s">
        <v>1952</v>
      </c>
      <c r="F110" s="1425"/>
      <c r="G110" s="1434"/>
      <c r="H110" s="1464"/>
      <c r="I110" s="1434" t="s">
        <v>1953</v>
      </c>
      <c r="J110" s="1423"/>
      <c r="K110" s="1441">
        <f>SUM(K111)</f>
        <v>114421</v>
      </c>
      <c r="L110" s="1468">
        <f>SUM(L111:L113)</f>
        <v>1</v>
      </c>
      <c r="M110" s="1349"/>
      <c r="N110" s="1315">
        <f>SUM(N111:N113)</f>
        <v>0</v>
      </c>
      <c r="O110" s="3113">
        <f>IF(Q110&gt;0,N110,"na")</f>
        <v>0</v>
      </c>
      <c r="P110" s="1485">
        <f>SUM(P111:P113)</f>
        <v>1300000000</v>
      </c>
      <c r="Q110" s="1311">
        <f>SUM(Q111:Q113)</f>
        <v>1300000000</v>
      </c>
      <c r="R110" s="1311">
        <f>SUM(R111:R113)</f>
        <v>0</v>
      </c>
      <c r="S110" s="1311">
        <f>SUM(S111:S113)</f>
        <v>0</v>
      </c>
      <c r="T110" s="1312">
        <f t="shared" si="14"/>
        <v>0</v>
      </c>
      <c r="U110" s="1312">
        <f t="shared" si="14"/>
        <v>0</v>
      </c>
      <c r="V110" s="1473"/>
      <c r="W110" s="1473"/>
      <c r="X110" s="1303"/>
      <c r="Y110" s="3107" t="s">
        <v>1752</v>
      </c>
    </row>
    <row r="111" spans="1:25" ht="184.8">
      <c r="A111" s="3109"/>
      <c r="B111" s="3115"/>
      <c r="C111" s="3115"/>
      <c r="D111" s="3122"/>
      <c r="E111" s="1437" t="s">
        <v>1954</v>
      </c>
      <c r="F111" s="1425"/>
      <c r="G111" s="1415" t="s">
        <v>1950</v>
      </c>
      <c r="H111" s="1439"/>
      <c r="I111" s="1415" t="s">
        <v>1955</v>
      </c>
      <c r="J111" s="1415" t="s">
        <v>1767</v>
      </c>
      <c r="K111" s="1441">
        <v>114421</v>
      </c>
      <c r="L111" s="1468">
        <v>0.5</v>
      </c>
      <c r="M111" s="1350">
        <v>0</v>
      </c>
      <c r="N111" s="1315">
        <v>0</v>
      </c>
      <c r="O111" s="3113"/>
      <c r="P111" s="1485">
        <v>1034250000</v>
      </c>
      <c r="Q111" s="1311">
        <v>1034250000</v>
      </c>
      <c r="R111" s="1311">
        <v>0</v>
      </c>
      <c r="S111" s="1311">
        <v>0</v>
      </c>
      <c r="T111" s="1312">
        <f t="shared" si="14"/>
        <v>0</v>
      </c>
      <c r="U111" s="1312">
        <f t="shared" si="14"/>
        <v>0</v>
      </c>
      <c r="V111" s="1470"/>
      <c r="W111" s="1470"/>
      <c r="X111" s="1303"/>
      <c r="Y111" s="3107"/>
    </row>
    <row r="112" spans="1:25" ht="52.8">
      <c r="A112" s="3109"/>
      <c r="B112" s="3115"/>
      <c r="C112" s="3115"/>
      <c r="D112" s="3122"/>
      <c r="E112" s="1437" t="s">
        <v>1956</v>
      </c>
      <c r="F112" s="1425"/>
      <c r="G112" s="1414"/>
      <c r="H112" s="1424"/>
      <c r="I112" s="1415" t="s">
        <v>1957</v>
      </c>
      <c r="J112" s="1415" t="s">
        <v>1775</v>
      </c>
      <c r="K112" s="1441">
        <v>8</v>
      </c>
      <c r="L112" s="1468">
        <v>0.3</v>
      </c>
      <c r="M112" s="1337">
        <v>0</v>
      </c>
      <c r="N112" s="1324">
        <v>0</v>
      </c>
      <c r="O112" s="3113"/>
      <c r="P112" s="1485">
        <v>185955000</v>
      </c>
      <c r="Q112" s="1311">
        <v>185955000</v>
      </c>
      <c r="R112" s="1311">
        <v>0</v>
      </c>
      <c r="S112" s="1311">
        <v>0</v>
      </c>
      <c r="T112" s="1312">
        <f t="shared" si="14"/>
        <v>0</v>
      </c>
      <c r="U112" s="1312">
        <f t="shared" si="14"/>
        <v>0</v>
      </c>
      <c r="V112" s="1476"/>
      <c r="W112" s="1476"/>
      <c r="X112" s="1303"/>
      <c r="Y112" s="3107"/>
    </row>
    <row r="113" spans="1:25" ht="92.4">
      <c r="A113" s="3109"/>
      <c r="B113" s="3115"/>
      <c r="C113" s="3115"/>
      <c r="D113" s="3122"/>
      <c r="E113" s="1437" t="s">
        <v>1958</v>
      </c>
      <c r="F113" s="1438"/>
      <c r="G113" s="1414"/>
      <c r="H113" s="1424"/>
      <c r="I113" s="1415" t="s">
        <v>1959</v>
      </c>
      <c r="J113" s="1415" t="s">
        <v>1960</v>
      </c>
      <c r="K113" s="1417">
        <v>1</v>
      </c>
      <c r="L113" s="1468">
        <v>0.2</v>
      </c>
      <c r="M113" s="1326">
        <v>0</v>
      </c>
      <c r="N113" s="1324">
        <v>0</v>
      </c>
      <c r="O113" s="3113"/>
      <c r="P113" s="1472">
        <v>79795000</v>
      </c>
      <c r="Q113" s="1311">
        <v>79795000</v>
      </c>
      <c r="R113" s="1311">
        <v>0</v>
      </c>
      <c r="S113" s="1311">
        <v>0</v>
      </c>
      <c r="T113" s="1312">
        <f t="shared" si="14"/>
        <v>0</v>
      </c>
      <c r="U113" s="1312">
        <f t="shared" si="14"/>
        <v>0</v>
      </c>
      <c r="V113" s="1470"/>
      <c r="W113" s="1470"/>
      <c r="X113" s="1303"/>
      <c r="Y113" s="3107"/>
    </row>
    <row r="114" spans="1:25" ht="27.6">
      <c r="A114" s="1425"/>
      <c r="B114" s="1433">
        <v>52030010008</v>
      </c>
      <c r="C114" s="1433" t="s">
        <v>117</v>
      </c>
      <c r="D114" s="1412" t="s">
        <v>1961</v>
      </c>
      <c r="E114" s="1434"/>
      <c r="F114" s="1448"/>
      <c r="G114" s="1415"/>
      <c r="H114" s="1408"/>
      <c r="I114" s="1415"/>
      <c r="J114" s="1415"/>
      <c r="K114" s="1467"/>
      <c r="L114" s="1442"/>
      <c r="M114" s="1351"/>
      <c r="N114" s="1315"/>
      <c r="O114" s="1310"/>
      <c r="P114" s="1436"/>
      <c r="Q114" s="1311"/>
      <c r="R114" s="1311"/>
      <c r="S114" s="1311"/>
      <c r="T114" s="1312"/>
      <c r="U114" s="1312"/>
      <c r="V114" s="1443"/>
      <c r="W114" s="1443"/>
      <c r="X114" s="1303"/>
      <c r="Y114" s="1408"/>
    </row>
    <row r="115" spans="1:25">
      <c r="A115" s="3109">
        <v>4145</v>
      </c>
      <c r="B115" s="3121"/>
      <c r="C115" s="3109" t="s">
        <v>123</v>
      </c>
      <c r="D115" s="3111" t="s">
        <v>1962</v>
      </c>
      <c r="E115" s="1437" t="s">
        <v>1963</v>
      </c>
      <c r="F115" s="1453"/>
      <c r="G115" s="1434"/>
      <c r="H115" s="1464"/>
      <c r="I115" s="1434"/>
      <c r="J115" s="1434"/>
      <c r="K115" s="1441">
        <f>SUM(K116)</f>
        <v>175</v>
      </c>
      <c r="L115" s="1442">
        <f>SUM(L116:L118)</f>
        <v>1</v>
      </c>
      <c r="M115" s="1351"/>
      <c r="N115" s="1315">
        <f>SUM(N116:N118)</f>
        <v>0.24081402831402832</v>
      </c>
      <c r="O115" s="3113">
        <f>IF(Q115&gt;0,N115,"na")</f>
        <v>0.24081402831402832</v>
      </c>
      <c r="P115" s="1417">
        <f>SUM(P116:P118)</f>
        <v>1931265309</v>
      </c>
      <c r="Q115" s="1311">
        <f>SUM(Q116:Q118)</f>
        <v>1931265309</v>
      </c>
      <c r="R115" s="1311">
        <f>SUM(R116:R118)</f>
        <v>210024200</v>
      </c>
      <c r="S115" s="1311">
        <f>SUM(S116:S118)</f>
        <v>103237000</v>
      </c>
      <c r="T115" s="1312">
        <f t="shared" ref="T115:U118" si="15">IF(Q115=0,0,R115/Q115)</f>
        <v>0.10874953276551606</v>
      </c>
      <c r="U115" s="1312">
        <f t="shared" si="15"/>
        <v>0.49154811683605987</v>
      </c>
      <c r="V115" s="1490"/>
      <c r="W115" s="1490"/>
      <c r="X115" s="1303"/>
      <c r="Y115" s="3107" t="s">
        <v>1752</v>
      </c>
    </row>
    <row r="116" spans="1:25" ht="105.6">
      <c r="A116" s="3109"/>
      <c r="B116" s="3121"/>
      <c r="C116" s="3109"/>
      <c r="D116" s="3111"/>
      <c r="E116" s="1437" t="s">
        <v>1964</v>
      </c>
      <c r="F116" s="1489"/>
      <c r="G116" s="1415" t="s">
        <v>1965</v>
      </c>
      <c r="H116" s="1464"/>
      <c r="I116" s="1415" t="s">
        <v>1966</v>
      </c>
      <c r="J116" s="1415" t="s">
        <v>1967</v>
      </c>
      <c r="K116" s="1441">
        <v>175</v>
      </c>
      <c r="L116" s="1442">
        <v>0.4</v>
      </c>
      <c r="M116" s="1343">
        <v>10</v>
      </c>
      <c r="N116" s="1310">
        <v>5.7142857142857141E-2</v>
      </c>
      <c r="O116" s="3113"/>
      <c r="P116" s="1417">
        <v>427052045</v>
      </c>
      <c r="Q116" s="1344">
        <v>427052045</v>
      </c>
      <c r="R116" s="1344">
        <v>13853800</v>
      </c>
      <c r="S116" s="1344">
        <v>6403800</v>
      </c>
      <c r="T116" s="1312">
        <f t="shared" si="15"/>
        <v>3.2440542463624079E-2</v>
      </c>
      <c r="U116" s="1312">
        <f t="shared" si="15"/>
        <v>0.46224140668986125</v>
      </c>
      <c r="V116" s="1491">
        <v>45306</v>
      </c>
      <c r="W116" s="1491">
        <v>45657</v>
      </c>
      <c r="X116" s="1303" t="s">
        <v>1968</v>
      </c>
      <c r="Y116" s="3107"/>
    </row>
    <row r="117" spans="1:25" ht="92.4">
      <c r="A117" s="3109"/>
      <c r="B117" s="3121"/>
      <c r="C117" s="3109"/>
      <c r="D117" s="3111"/>
      <c r="E117" s="1437" t="s">
        <v>1969</v>
      </c>
      <c r="F117" s="1489"/>
      <c r="G117" s="1492"/>
      <c r="H117" s="1489"/>
      <c r="I117" s="1415" t="s">
        <v>1970</v>
      </c>
      <c r="J117" s="1415" t="s">
        <v>1971</v>
      </c>
      <c r="K117" s="1441">
        <v>192</v>
      </c>
      <c r="L117" s="1442">
        <v>0.3</v>
      </c>
      <c r="M117" s="1326">
        <v>28</v>
      </c>
      <c r="N117" s="1324">
        <v>0.14583333333333334</v>
      </c>
      <c r="O117" s="3113"/>
      <c r="P117" s="1417">
        <v>1127873819</v>
      </c>
      <c r="Q117" s="1344">
        <v>1127873819</v>
      </c>
      <c r="R117" s="1344">
        <v>137322400</v>
      </c>
      <c r="S117" s="1344">
        <v>67122200</v>
      </c>
      <c r="T117" s="1312">
        <f t="shared" si="15"/>
        <v>0.12175333595539378</v>
      </c>
      <c r="U117" s="1312">
        <f t="shared" si="15"/>
        <v>0.48879279709646789</v>
      </c>
      <c r="V117" s="1491">
        <v>45306</v>
      </c>
      <c r="W117" s="1491">
        <v>45657</v>
      </c>
      <c r="X117" s="1303" t="s">
        <v>1972</v>
      </c>
      <c r="Y117" s="3107"/>
    </row>
    <row r="118" spans="1:25" ht="92.4">
      <c r="A118" s="3109"/>
      <c r="B118" s="3121"/>
      <c r="C118" s="3109"/>
      <c r="D118" s="3111"/>
      <c r="E118" s="1437" t="s">
        <v>1973</v>
      </c>
      <c r="F118" s="1489"/>
      <c r="G118" s="1492"/>
      <c r="H118" s="1489"/>
      <c r="I118" s="1415" t="s">
        <v>1974</v>
      </c>
      <c r="J118" s="1415" t="s">
        <v>1975</v>
      </c>
      <c r="K118" s="1441">
        <v>185</v>
      </c>
      <c r="L118" s="1442">
        <v>0.3</v>
      </c>
      <c r="M118" s="1352">
        <v>7</v>
      </c>
      <c r="N118" s="1315">
        <v>3.783783783783784E-2</v>
      </c>
      <c r="O118" s="3113"/>
      <c r="P118" s="1417">
        <v>376339445</v>
      </c>
      <c r="Q118" s="1344">
        <v>376339445</v>
      </c>
      <c r="R118" s="1344">
        <v>58848000</v>
      </c>
      <c r="S118" s="1344">
        <v>29711000</v>
      </c>
      <c r="T118" s="1312">
        <f t="shared" si="15"/>
        <v>0.156369471183123</v>
      </c>
      <c r="U118" s="1312">
        <f t="shared" si="15"/>
        <v>0.50487697117998909</v>
      </c>
      <c r="V118" s="1491">
        <v>45306</v>
      </c>
      <c r="W118" s="1491">
        <v>45657</v>
      </c>
      <c r="X118" s="1303" t="s">
        <v>1976</v>
      </c>
      <c r="Y118" s="3107"/>
    </row>
    <row r="119" spans="1:25" ht="27.6">
      <c r="A119" s="1493"/>
      <c r="B119" s="1433">
        <v>52030010009</v>
      </c>
      <c r="C119" s="1422" t="s">
        <v>117</v>
      </c>
      <c r="D119" s="1412" t="s">
        <v>1977</v>
      </c>
      <c r="E119" s="1427"/>
      <c r="F119" s="1494"/>
      <c r="G119" s="1415"/>
      <c r="H119" s="1439"/>
      <c r="I119" s="1415"/>
      <c r="J119" s="1415"/>
      <c r="K119" s="1425"/>
      <c r="L119" s="1442"/>
      <c r="M119" s="1352"/>
      <c r="N119" s="1315"/>
      <c r="O119" s="1310"/>
      <c r="P119" s="1436"/>
      <c r="Q119" s="1311"/>
      <c r="R119" s="1311"/>
      <c r="S119" s="1311"/>
      <c r="T119" s="1312"/>
      <c r="U119" s="1312"/>
      <c r="V119" s="1443"/>
      <c r="W119" s="1443"/>
      <c r="X119" s="1303"/>
      <c r="Y119" s="1493"/>
    </row>
    <row r="120" spans="1:25">
      <c r="A120" s="3109">
        <v>4145</v>
      </c>
      <c r="B120" s="3121"/>
      <c r="C120" s="3109" t="s">
        <v>123</v>
      </c>
      <c r="D120" s="3111" t="s">
        <v>1978</v>
      </c>
      <c r="E120" s="1437" t="s">
        <v>1979</v>
      </c>
      <c r="F120" s="1467"/>
      <c r="G120" s="1440"/>
      <c r="H120" s="1495"/>
      <c r="I120" s="1440"/>
      <c r="J120" s="1438"/>
      <c r="K120" s="1441">
        <f>SUM(K121)</f>
        <v>1</v>
      </c>
      <c r="L120" s="1462">
        <f>SUM(L121:L123)</f>
        <v>1</v>
      </c>
      <c r="M120" s="1352"/>
      <c r="N120" s="1315">
        <f>SUM(N121:N123)</f>
        <v>0.15441176470588236</v>
      </c>
      <c r="O120" s="3120">
        <f>IF(Q120&gt;0,N120,"na")</f>
        <v>0.15441176470588236</v>
      </c>
      <c r="P120" s="1441">
        <f>SUM(P121:P123)</f>
        <v>210000000</v>
      </c>
      <c r="Q120" s="1311">
        <f>SUM(Q121:Q123)</f>
        <v>210000000</v>
      </c>
      <c r="R120" s="1311">
        <f>SUM(R121:R123)</f>
        <v>51927000</v>
      </c>
      <c r="S120" s="1311">
        <f>SUM(S121:S123)</f>
        <v>37281000</v>
      </c>
      <c r="T120" s="1312">
        <f t="shared" ref="T120:U128" si="16">IF(Q120=0,0,R120/Q120)</f>
        <v>0.24727142857142856</v>
      </c>
      <c r="U120" s="1312">
        <f t="shared" si="16"/>
        <v>0.71795019931827375</v>
      </c>
      <c r="V120" s="1490"/>
      <c r="W120" s="1490"/>
      <c r="X120" s="1303"/>
      <c r="Y120" s="3107" t="s">
        <v>1752</v>
      </c>
    </row>
    <row r="121" spans="1:25" ht="79.2">
      <c r="A121" s="3109"/>
      <c r="B121" s="3121"/>
      <c r="C121" s="3109"/>
      <c r="D121" s="3111"/>
      <c r="E121" s="1437" t="s">
        <v>1980</v>
      </c>
      <c r="F121" s="1467"/>
      <c r="G121" s="1438" t="s">
        <v>1977</v>
      </c>
      <c r="H121" s="1495"/>
      <c r="I121" s="1415" t="s">
        <v>1981</v>
      </c>
      <c r="J121" s="1438" t="s">
        <v>1782</v>
      </c>
      <c r="K121" s="1441">
        <v>1</v>
      </c>
      <c r="L121" s="1462">
        <v>0.5</v>
      </c>
      <c r="M121" s="1343">
        <v>0.25</v>
      </c>
      <c r="N121" s="1310">
        <v>0.125</v>
      </c>
      <c r="O121" s="3120"/>
      <c r="P121" s="1441">
        <v>125909700</v>
      </c>
      <c r="Q121" s="1344">
        <v>125909700</v>
      </c>
      <c r="R121" s="1344">
        <v>36394000</v>
      </c>
      <c r="S121" s="1344">
        <v>26186000</v>
      </c>
      <c r="T121" s="1312">
        <f t="shared" si="16"/>
        <v>0.28904842120980351</v>
      </c>
      <c r="U121" s="1312">
        <f t="shared" si="16"/>
        <v>0.71951420563829205</v>
      </c>
      <c r="V121" s="1443" t="s">
        <v>1822</v>
      </c>
      <c r="W121" s="1443" t="s">
        <v>1823</v>
      </c>
      <c r="X121" s="1303" t="s">
        <v>1982</v>
      </c>
      <c r="Y121" s="3107"/>
    </row>
    <row r="122" spans="1:25" ht="105.6">
      <c r="A122" s="3109"/>
      <c r="B122" s="3121"/>
      <c r="C122" s="3109"/>
      <c r="D122" s="3111"/>
      <c r="E122" s="1437" t="s">
        <v>1983</v>
      </c>
      <c r="F122" s="1467"/>
      <c r="G122" s="1440"/>
      <c r="H122" s="1439"/>
      <c r="I122" s="1415" t="s">
        <v>1984</v>
      </c>
      <c r="J122" s="1438" t="s">
        <v>1756</v>
      </c>
      <c r="K122" s="1441">
        <v>17</v>
      </c>
      <c r="L122" s="1462">
        <v>0.25</v>
      </c>
      <c r="M122" s="1337">
        <v>2</v>
      </c>
      <c r="N122" s="1324">
        <v>2.9411764705882353E-2</v>
      </c>
      <c r="O122" s="3120"/>
      <c r="P122" s="1441">
        <v>79587900</v>
      </c>
      <c r="Q122" s="1344">
        <v>79587900</v>
      </c>
      <c r="R122" s="1344">
        <v>15533000</v>
      </c>
      <c r="S122" s="1344">
        <v>11095000</v>
      </c>
      <c r="T122" s="1312">
        <f t="shared" si="16"/>
        <v>0.19516785843074136</v>
      </c>
      <c r="U122" s="1312">
        <f t="shared" si="16"/>
        <v>0.7142857142857143</v>
      </c>
      <c r="V122" s="1443" t="s">
        <v>1822</v>
      </c>
      <c r="W122" s="1443" t="s">
        <v>1823</v>
      </c>
      <c r="X122" s="1303" t="s">
        <v>1985</v>
      </c>
      <c r="Y122" s="3107"/>
    </row>
    <row r="123" spans="1:25" ht="26.4">
      <c r="A123" s="3109"/>
      <c r="B123" s="3121"/>
      <c r="C123" s="3109"/>
      <c r="D123" s="3111"/>
      <c r="E123" s="1437" t="s">
        <v>1986</v>
      </c>
      <c r="F123" s="1467"/>
      <c r="G123" s="1440"/>
      <c r="H123" s="1439"/>
      <c r="I123" s="1415" t="s">
        <v>1987</v>
      </c>
      <c r="J123" s="1438" t="s">
        <v>220</v>
      </c>
      <c r="K123" s="1441">
        <v>1</v>
      </c>
      <c r="L123" s="1462">
        <v>0.25</v>
      </c>
      <c r="M123" s="1337">
        <v>0</v>
      </c>
      <c r="N123" s="1315">
        <v>0</v>
      </c>
      <c r="O123" s="3120"/>
      <c r="P123" s="1441">
        <v>4502400</v>
      </c>
      <c r="Q123" s="1344">
        <v>4502400</v>
      </c>
      <c r="R123" s="1344">
        <v>0</v>
      </c>
      <c r="S123" s="1344">
        <v>0</v>
      </c>
      <c r="T123" s="1312">
        <f t="shared" si="16"/>
        <v>0</v>
      </c>
      <c r="U123" s="1312">
        <f t="shared" si="16"/>
        <v>0</v>
      </c>
      <c r="V123" s="1443"/>
      <c r="W123" s="1443"/>
      <c r="X123" s="1303"/>
      <c r="Y123" s="3107"/>
    </row>
    <row r="124" spans="1:25" ht="27.6">
      <c r="A124" s="1425"/>
      <c r="B124" s="1433">
        <v>52030010010</v>
      </c>
      <c r="C124" s="1422" t="s">
        <v>117</v>
      </c>
      <c r="D124" s="1471" t="s">
        <v>1988</v>
      </c>
      <c r="E124" s="1427"/>
      <c r="F124" s="1496"/>
      <c r="G124" s="1440"/>
      <c r="H124" s="1467"/>
      <c r="I124" s="1440"/>
      <c r="J124" s="1438"/>
      <c r="K124" s="1425"/>
      <c r="L124" s="1487"/>
      <c r="M124" s="1337"/>
      <c r="N124" s="1315"/>
      <c r="O124" s="1353"/>
      <c r="P124" s="1469"/>
      <c r="Q124" s="1311"/>
      <c r="R124" s="1327"/>
      <c r="S124" s="1327"/>
      <c r="T124" s="1312"/>
      <c r="U124" s="1312"/>
      <c r="V124" s="1450"/>
      <c r="W124" s="1450"/>
      <c r="X124" s="1303"/>
      <c r="Y124" s="1408"/>
    </row>
    <row r="125" spans="1:25">
      <c r="A125" s="3109">
        <v>4145</v>
      </c>
      <c r="B125" s="3121"/>
      <c r="C125" s="3109" t="s">
        <v>123</v>
      </c>
      <c r="D125" s="3122" t="s">
        <v>1989</v>
      </c>
      <c r="E125" s="1437" t="s">
        <v>1990</v>
      </c>
      <c r="F125" s="1467"/>
      <c r="G125" s="1423"/>
      <c r="H125" s="1464"/>
      <c r="I125" s="1414"/>
      <c r="J125" s="1415"/>
      <c r="K125" s="1441">
        <f>+K127</f>
        <v>700</v>
      </c>
      <c r="L125" s="1468">
        <f>SUM(L126:L128)</f>
        <v>1</v>
      </c>
      <c r="M125" s="1337"/>
      <c r="N125" s="1315">
        <f>SUM(N126:N128)</f>
        <v>1.4999999999999999E-2</v>
      </c>
      <c r="O125" s="3113">
        <f>IF(Q125&gt;0,N125,"na")</f>
        <v>1.4999999999999999E-2</v>
      </c>
      <c r="P125" s="1472">
        <f>SUM(P126:P128)</f>
        <v>723706080</v>
      </c>
      <c r="Q125" s="1311">
        <f>SUM(Q126:Q128)</f>
        <v>723706080</v>
      </c>
      <c r="R125" s="1327">
        <f>SUM(R126:R128)</f>
        <v>35504000</v>
      </c>
      <c r="S125" s="1327">
        <f>SUM(S126:S128)</f>
        <v>17752000</v>
      </c>
      <c r="T125" s="1312">
        <f t="shared" si="16"/>
        <v>4.9058590194516534E-2</v>
      </c>
      <c r="U125" s="1312">
        <f t="shared" si="16"/>
        <v>0.5</v>
      </c>
      <c r="V125" s="1490"/>
      <c r="W125" s="1490"/>
      <c r="X125" s="1303"/>
      <c r="Y125" s="3107" t="s">
        <v>1991</v>
      </c>
    </row>
    <row r="126" spans="1:25" ht="92.4">
      <c r="A126" s="3109"/>
      <c r="B126" s="3121"/>
      <c r="C126" s="3109"/>
      <c r="D126" s="3122"/>
      <c r="E126" s="1437" t="s">
        <v>1992</v>
      </c>
      <c r="F126" s="1467"/>
      <c r="G126" s="1414"/>
      <c r="H126" s="1425"/>
      <c r="I126" s="1415" t="s">
        <v>1993</v>
      </c>
      <c r="J126" s="1415" t="s">
        <v>1994</v>
      </c>
      <c r="K126" s="1441">
        <v>5</v>
      </c>
      <c r="L126" s="1468">
        <v>0.17</v>
      </c>
      <c r="M126" s="1326">
        <v>1</v>
      </c>
      <c r="N126" s="1315">
        <v>0.01</v>
      </c>
      <c r="O126" s="3113"/>
      <c r="P126" s="1472">
        <v>121564800</v>
      </c>
      <c r="Q126" s="1344">
        <v>121564800</v>
      </c>
      <c r="R126" s="1344">
        <v>16642500</v>
      </c>
      <c r="S126" s="1344">
        <v>11095000</v>
      </c>
      <c r="T126" s="1312">
        <f t="shared" si="16"/>
        <v>0.13690229408512991</v>
      </c>
      <c r="U126" s="1312">
        <f t="shared" si="16"/>
        <v>0.66666666666666663</v>
      </c>
      <c r="V126" s="1354">
        <v>45323</v>
      </c>
      <c r="W126" s="1497" t="s">
        <v>1823</v>
      </c>
      <c r="X126" s="1303" t="s">
        <v>1995</v>
      </c>
      <c r="Y126" s="3107"/>
    </row>
    <row r="127" spans="1:25" ht="79.2">
      <c r="A127" s="3109"/>
      <c r="B127" s="3121"/>
      <c r="C127" s="3109"/>
      <c r="D127" s="3122"/>
      <c r="E127" s="1437" t="s">
        <v>1996</v>
      </c>
      <c r="F127" s="1467"/>
      <c r="G127" s="1415" t="s">
        <v>1997</v>
      </c>
      <c r="H127" s="1439"/>
      <c r="I127" s="1415" t="s">
        <v>1998</v>
      </c>
      <c r="J127" s="1415" t="s">
        <v>120</v>
      </c>
      <c r="K127" s="1441">
        <v>700</v>
      </c>
      <c r="L127" s="1468">
        <v>0.62</v>
      </c>
      <c r="M127" s="1326">
        <v>40</v>
      </c>
      <c r="N127" s="1324">
        <v>5.0000000000000001E-3</v>
      </c>
      <c r="O127" s="3113"/>
      <c r="P127" s="1472">
        <v>453743078</v>
      </c>
      <c r="Q127" s="1344">
        <v>453743078</v>
      </c>
      <c r="R127" s="1344">
        <v>9541700</v>
      </c>
      <c r="S127" s="1344">
        <v>2219000</v>
      </c>
      <c r="T127" s="1312">
        <f t="shared" si="16"/>
        <v>2.1028860742201779E-2</v>
      </c>
      <c r="U127" s="1312">
        <f t="shared" si="16"/>
        <v>0.23255813953488372</v>
      </c>
      <c r="V127" s="1354">
        <v>45323</v>
      </c>
      <c r="W127" s="1497" t="s">
        <v>1823</v>
      </c>
      <c r="X127" s="1303" t="s">
        <v>1999</v>
      </c>
      <c r="Y127" s="3107"/>
    </row>
    <row r="128" spans="1:25" ht="79.2">
      <c r="A128" s="3109"/>
      <c r="B128" s="3121"/>
      <c r="C128" s="3109"/>
      <c r="D128" s="3122"/>
      <c r="E128" s="1437" t="s">
        <v>2000</v>
      </c>
      <c r="F128" s="1467"/>
      <c r="G128" s="1414"/>
      <c r="H128" s="1439"/>
      <c r="I128" s="1415" t="s">
        <v>2001</v>
      </c>
      <c r="J128" s="1415" t="s">
        <v>1721</v>
      </c>
      <c r="K128" s="1441">
        <v>5</v>
      </c>
      <c r="L128" s="1468">
        <v>0.21</v>
      </c>
      <c r="M128" s="1355">
        <v>0</v>
      </c>
      <c r="N128" s="1315" t="s">
        <v>2002</v>
      </c>
      <c r="O128" s="3113"/>
      <c r="P128" s="1472">
        <v>148398202</v>
      </c>
      <c r="Q128" s="1344">
        <v>148398202</v>
      </c>
      <c r="R128" s="1344">
        <v>9319800</v>
      </c>
      <c r="S128" s="1344">
        <v>4438000</v>
      </c>
      <c r="T128" s="1312">
        <f t="shared" si="16"/>
        <v>6.2802647703238346E-2</v>
      </c>
      <c r="U128" s="1312">
        <f t="shared" si="16"/>
        <v>0.47619047619047616</v>
      </c>
      <c r="V128" s="1354">
        <v>45323</v>
      </c>
      <c r="W128" s="1497" t="s">
        <v>1823</v>
      </c>
      <c r="X128" s="1303" t="s">
        <v>2003</v>
      </c>
      <c r="Y128" s="3107"/>
    </row>
    <row r="129" spans="1:25" ht="27.6">
      <c r="A129" s="1493"/>
      <c r="B129" s="1422">
        <v>52030010012</v>
      </c>
      <c r="C129" s="1422" t="s">
        <v>117</v>
      </c>
      <c r="D129" s="1498" t="s">
        <v>2004</v>
      </c>
      <c r="E129" s="1499"/>
      <c r="F129" s="1496"/>
      <c r="G129" s="1500"/>
      <c r="H129" s="1494"/>
      <c r="I129" s="1500"/>
      <c r="J129" s="1501"/>
      <c r="K129" s="1494"/>
      <c r="L129" s="1500"/>
      <c r="M129" s="1356"/>
      <c r="N129" s="1315"/>
      <c r="O129" s="1310"/>
      <c r="P129" s="1500"/>
      <c r="Q129" s="1327"/>
      <c r="R129" s="1327"/>
      <c r="S129" s="1327"/>
      <c r="T129" s="1312"/>
      <c r="U129" s="1312"/>
      <c r="V129" s="1500"/>
      <c r="W129" s="1500"/>
      <c r="X129" s="1303"/>
      <c r="Y129" s="1502"/>
    </row>
    <row r="130" spans="1:25">
      <c r="A130" s="3121">
        <v>4145</v>
      </c>
      <c r="B130" s="3121"/>
      <c r="C130" s="3109" t="s">
        <v>123</v>
      </c>
      <c r="D130" s="3122" t="s">
        <v>2005</v>
      </c>
      <c r="E130" s="1437" t="s">
        <v>2006</v>
      </c>
      <c r="F130" s="1489"/>
      <c r="G130" s="1492"/>
      <c r="H130" s="1453"/>
      <c r="I130" s="1492"/>
      <c r="J130" s="1499"/>
      <c r="K130" s="1441">
        <f>SUM(K131)</f>
        <v>1</v>
      </c>
      <c r="L130" s="1478">
        <f>+SUM(L131:L133)</f>
        <v>1</v>
      </c>
      <c r="M130" s="1343"/>
      <c r="N130" s="1310">
        <f>+SUM(N131:N133)</f>
        <v>0.19</v>
      </c>
      <c r="O130" s="3120">
        <f>IF(Q130&gt;0,N130,"na")</f>
        <v>0.19</v>
      </c>
      <c r="P130" s="1472">
        <f>+SUM(P131:P133)</f>
        <v>390000000</v>
      </c>
      <c r="Q130" s="1344">
        <f>+SUM(Q131:Q133)</f>
        <v>390000000</v>
      </c>
      <c r="R130" s="1344">
        <f>+SUM(R131:R133)</f>
        <v>52626000</v>
      </c>
      <c r="S130" s="1344">
        <f>+SUM(S131:S133)</f>
        <v>19497000</v>
      </c>
      <c r="T130" s="1312">
        <f t="shared" ref="T130:U133" si="17">IF(Q130=0,0,R130/Q130)</f>
        <v>0.13493846153846153</v>
      </c>
      <c r="U130" s="1312">
        <f t="shared" si="17"/>
        <v>0.37048227112073878</v>
      </c>
      <c r="V130" s="1490"/>
      <c r="W130" s="1490"/>
      <c r="X130" s="1303"/>
      <c r="Y130" s="3107" t="s">
        <v>2007</v>
      </c>
    </row>
    <row r="131" spans="1:25" ht="79.2">
      <c r="A131" s="3121"/>
      <c r="B131" s="3121"/>
      <c r="C131" s="3109"/>
      <c r="D131" s="3122"/>
      <c r="E131" s="1437" t="s">
        <v>2008</v>
      </c>
      <c r="F131" s="1489"/>
      <c r="G131" s="1415" t="s">
        <v>2009</v>
      </c>
      <c r="H131" s="1453"/>
      <c r="I131" s="1415" t="s">
        <v>2010</v>
      </c>
      <c r="J131" s="1415" t="s">
        <v>2011</v>
      </c>
      <c r="K131" s="1441">
        <v>1</v>
      </c>
      <c r="L131" s="1478">
        <v>0.34</v>
      </c>
      <c r="M131" s="1326">
        <v>0</v>
      </c>
      <c r="N131" s="1324">
        <v>0.09</v>
      </c>
      <c r="O131" s="3120"/>
      <c r="P131" s="1472">
        <v>172890816</v>
      </c>
      <c r="Q131" s="1320">
        <v>172890816</v>
      </c>
      <c r="R131" s="1320">
        <v>37028400</v>
      </c>
      <c r="S131" s="1320">
        <v>7798800</v>
      </c>
      <c r="T131" s="1312">
        <f t="shared" si="17"/>
        <v>0.2141721628521899</v>
      </c>
      <c r="U131" s="1312">
        <f t="shared" si="17"/>
        <v>0.2106167158181288</v>
      </c>
      <c r="V131" s="1490">
        <v>45318</v>
      </c>
      <c r="W131" s="1490" t="s">
        <v>1823</v>
      </c>
      <c r="X131" s="1303" t="s">
        <v>2012</v>
      </c>
      <c r="Y131" s="3107"/>
    </row>
    <row r="132" spans="1:25" ht="79.2">
      <c r="A132" s="3121"/>
      <c r="B132" s="3121"/>
      <c r="C132" s="3109"/>
      <c r="D132" s="3122"/>
      <c r="E132" s="1437" t="s">
        <v>2013</v>
      </c>
      <c r="F132" s="1489"/>
      <c r="G132" s="1408"/>
      <c r="H132" s="1503"/>
      <c r="I132" s="1415" t="s">
        <v>2014</v>
      </c>
      <c r="J132" s="1415" t="s">
        <v>2015</v>
      </c>
      <c r="K132" s="1441">
        <v>1</v>
      </c>
      <c r="L132" s="1478">
        <v>0.33</v>
      </c>
      <c r="M132" s="1326">
        <v>0</v>
      </c>
      <c r="N132" s="1315">
        <v>0.1</v>
      </c>
      <c r="O132" s="3120"/>
      <c r="P132" s="1472">
        <v>142146988</v>
      </c>
      <c r="Q132" s="1320">
        <v>142146988</v>
      </c>
      <c r="R132" s="1320">
        <v>15597600</v>
      </c>
      <c r="S132" s="1320">
        <v>11698200</v>
      </c>
      <c r="T132" s="1312">
        <f t="shared" si="17"/>
        <v>0.10972867043795539</v>
      </c>
      <c r="U132" s="1312">
        <f t="shared" si="17"/>
        <v>0.75</v>
      </c>
      <c r="V132" s="1490">
        <v>45318</v>
      </c>
      <c r="W132" s="1490" t="s">
        <v>1823</v>
      </c>
      <c r="X132" s="1303" t="s">
        <v>2016</v>
      </c>
      <c r="Y132" s="3107"/>
    </row>
    <row r="133" spans="1:25" ht="52.8">
      <c r="A133" s="3121"/>
      <c r="B133" s="3121"/>
      <c r="C133" s="3109"/>
      <c r="D133" s="3122"/>
      <c r="E133" s="1437" t="s">
        <v>2017</v>
      </c>
      <c r="F133" s="1489"/>
      <c r="G133" s="1408"/>
      <c r="H133" s="1503"/>
      <c r="I133" s="1415" t="s">
        <v>2018</v>
      </c>
      <c r="J133" s="1415" t="s">
        <v>2019</v>
      </c>
      <c r="K133" s="1441">
        <v>1</v>
      </c>
      <c r="L133" s="1478">
        <v>0.33</v>
      </c>
      <c r="M133" s="1326">
        <v>0</v>
      </c>
      <c r="N133" s="1315">
        <v>0</v>
      </c>
      <c r="O133" s="3120"/>
      <c r="P133" s="1472">
        <v>74962196</v>
      </c>
      <c r="Q133" s="1320">
        <v>74962196</v>
      </c>
      <c r="R133" s="1320">
        <v>0</v>
      </c>
      <c r="S133" s="1320">
        <v>0</v>
      </c>
      <c r="T133" s="1312">
        <f t="shared" si="17"/>
        <v>0</v>
      </c>
      <c r="U133" s="1312">
        <f t="shared" si="17"/>
        <v>0</v>
      </c>
      <c r="V133" s="1492"/>
      <c r="W133" s="1492"/>
      <c r="X133" s="1303"/>
      <c r="Y133" s="3107"/>
    </row>
    <row r="134" spans="1:25" ht="27.6">
      <c r="A134" s="1425"/>
      <c r="B134" s="1422">
        <v>52030010013</v>
      </c>
      <c r="C134" s="1422" t="s">
        <v>117</v>
      </c>
      <c r="D134" s="1412" t="s">
        <v>2020</v>
      </c>
      <c r="E134" s="1427"/>
      <c r="F134" s="1494"/>
      <c r="G134" s="1414"/>
      <c r="H134" s="1408"/>
      <c r="I134" s="1415"/>
      <c r="J134" s="1415"/>
      <c r="K134" s="1425"/>
      <c r="L134" s="1442"/>
      <c r="M134" s="1326"/>
      <c r="N134" s="1315"/>
      <c r="O134" s="1353"/>
      <c r="P134" s="1436"/>
      <c r="Q134" s="1320"/>
      <c r="R134" s="1327"/>
      <c r="S134" s="1327"/>
      <c r="T134" s="1312"/>
      <c r="U134" s="1312"/>
      <c r="V134" s="1446"/>
      <c r="W134" s="1443"/>
      <c r="X134" s="1303"/>
      <c r="Y134" s="1408"/>
    </row>
    <row r="135" spans="1:25">
      <c r="A135" s="3109">
        <v>4145</v>
      </c>
      <c r="B135" s="3121"/>
      <c r="C135" s="3109" t="s">
        <v>123</v>
      </c>
      <c r="D135" s="3122" t="s">
        <v>2021</v>
      </c>
      <c r="E135" s="1437" t="s">
        <v>2022</v>
      </c>
      <c r="F135" s="1489"/>
      <c r="G135" s="1414"/>
      <c r="H135" s="1425"/>
      <c r="I135" s="1492"/>
      <c r="J135" s="1499"/>
      <c r="K135" s="1441">
        <f>SUM(K136,K137)</f>
        <v>1700</v>
      </c>
      <c r="L135" s="1478">
        <f>SUM(L136:L137)</f>
        <v>1</v>
      </c>
      <c r="M135" s="1337"/>
      <c r="N135" s="1324">
        <f>SUM(N136:N137)</f>
        <v>0</v>
      </c>
      <c r="O135" s="3120">
        <f>IF(Q135&gt;0,N135,"na")</f>
        <v>0</v>
      </c>
      <c r="P135" s="1472">
        <f>SUM(P136:P137)</f>
        <v>2018804060</v>
      </c>
      <c r="Q135" s="1344">
        <f>SUM(Q136:Q137)</f>
        <v>2018804060</v>
      </c>
      <c r="R135" s="1344">
        <f>SUM(R136:R137)</f>
        <v>0</v>
      </c>
      <c r="S135" s="1344">
        <f>SUM(S136:S137)</f>
        <v>0</v>
      </c>
      <c r="T135" s="1312">
        <f t="shared" ref="T135:U143" si="18">IF(Q135=0,0,R135/Q135)</f>
        <v>0</v>
      </c>
      <c r="U135" s="1312">
        <f t="shared" si="18"/>
        <v>0</v>
      </c>
      <c r="V135" s="1490"/>
      <c r="W135" s="1490"/>
      <c r="X135" s="1303"/>
      <c r="Y135" s="3107" t="s">
        <v>1752</v>
      </c>
    </row>
    <row r="136" spans="1:25" ht="66">
      <c r="A136" s="3109"/>
      <c r="B136" s="3121"/>
      <c r="C136" s="3109"/>
      <c r="D136" s="3122"/>
      <c r="E136" s="1437" t="s">
        <v>2023</v>
      </c>
      <c r="F136" s="1489"/>
      <c r="G136" s="3117" t="s">
        <v>2024</v>
      </c>
      <c r="H136" s="1425"/>
      <c r="I136" s="1415" t="s">
        <v>2025</v>
      </c>
      <c r="J136" s="1415" t="s">
        <v>1721</v>
      </c>
      <c r="K136" s="1441">
        <v>1200</v>
      </c>
      <c r="L136" s="1478">
        <v>0.67</v>
      </c>
      <c r="M136" s="1357">
        <v>0</v>
      </c>
      <c r="N136" s="1315">
        <v>0</v>
      </c>
      <c r="O136" s="3120"/>
      <c r="P136" s="1472">
        <v>1346851199</v>
      </c>
      <c r="Q136" s="1320">
        <v>1346851199</v>
      </c>
      <c r="R136" s="1320">
        <v>0</v>
      </c>
      <c r="S136" s="1320">
        <v>0</v>
      </c>
      <c r="T136" s="1312">
        <f t="shared" si="18"/>
        <v>0</v>
      </c>
      <c r="U136" s="1312">
        <f>IF(R136=0,0,S136/R136)</f>
        <v>0</v>
      </c>
      <c r="V136" s="1492"/>
      <c r="W136" s="1492"/>
      <c r="X136" s="1303"/>
      <c r="Y136" s="3107"/>
    </row>
    <row r="137" spans="1:25" ht="52.8">
      <c r="A137" s="3109"/>
      <c r="B137" s="3121"/>
      <c r="C137" s="3109"/>
      <c r="D137" s="3122"/>
      <c r="E137" s="1437" t="s">
        <v>2026</v>
      </c>
      <c r="F137" s="1489"/>
      <c r="G137" s="3107"/>
      <c r="H137" s="1425"/>
      <c r="I137" s="1415" t="s">
        <v>2027</v>
      </c>
      <c r="J137" s="1415" t="s">
        <v>1945</v>
      </c>
      <c r="K137" s="1441">
        <v>500</v>
      </c>
      <c r="L137" s="1478">
        <v>0.33</v>
      </c>
      <c r="M137" s="1337">
        <v>0</v>
      </c>
      <c r="N137" s="1324">
        <v>0</v>
      </c>
      <c r="O137" s="3120"/>
      <c r="P137" s="1472">
        <v>671952861</v>
      </c>
      <c r="Q137" s="1320">
        <v>671952861</v>
      </c>
      <c r="R137" s="1320">
        <v>0</v>
      </c>
      <c r="S137" s="1320">
        <v>0</v>
      </c>
      <c r="T137" s="1312">
        <f t="shared" si="18"/>
        <v>0</v>
      </c>
      <c r="U137" s="1312">
        <f t="shared" si="18"/>
        <v>0</v>
      </c>
      <c r="V137" s="1492"/>
      <c r="W137" s="1492"/>
      <c r="X137" s="1303"/>
      <c r="Y137" s="3107"/>
    </row>
    <row r="138" spans="1:25" ht="41.4">
      <c r="A138" s="1493"/>
      <c r="B138" s="1422">
        <v>52030010015</v>
      </c>
      <c r="C138" s="1422" t="s">
        <v>117</v>
      </c>
      <c r="D138" s="1412" t="s">
        <v>2028</v>
      </c>
      <c r="E138" s="1434"/>
      <c r="F138" s="1444"/>
      <c r="G138" s="1450"/>
      <c r="H138" s="1444"/>
      <c r="I138" s="1450"/>
      <c r="J138" s="1504"/>
      <c r="K138" s="1444"/>
      <c r="L138" s="1450"/>
      <c r="M138" s="1358"/>
      <c r="N138" s="1325"/>
      <c r="O138" s="1353"/>
      <c r="P138" s="1450"/>
      <c r="Q138" s="1320"/>
      <c r="R138" s="1327"/>
      <c r="S138" s="1327"/>
      <c r="T138" s="1312"/>
      <c r="U138" s="1312"/>
      <c r="V138" s="1450"/>
      <c r="W138" s="1450"/>
      <c r="X138" s="1303"/>
      <c r="Y138" s="1405"/>
    </row>
    <row r="139" spans="1:25">
      <c r="A139" s="3121">
        <v>4145</v>
      </c>
      <c r="B139" s="3109"/>
      <c r="C139" s="3109" t="s">
        <v>123</v>
      </c>
      <c r="D139" s="3111" t="s">
        <v>2029</v>
      </c>
      <c r="E139" s="1434" t="s">
        <v>2030</v>
      </c>
      <c r="F139" s="1425"/>
      <c r="G139" s="1423"/>
      <c r="H139" s="1425"/>
      <c r="I139" s="1423"/>
      <c r="J139" s="1434"/>
      <c r="K139" s="1441">
        <f>K143</f>
        <v>5</v>
      </c>
      <c r="L139" s="1478">
        <f>SUM(L140:L143)</f>
        <v>1</v>
      </c>
      <c r="M139" s="1358"/>
      <c r="N139" s="1325">
        <f>SUM(N140:N143)</f>
        <v>1.2E-2</v>
      </c>
      <c r="O139" s="3120">
        <f>IF(Q139&gt;0,N139,"na")</f>
        <v>1.2E-2</v>
      </c>
      <c r="P139" s="1472">
        <f>SUM(P140:P143)</f>
        <v>1036840000</v>
      </c>
      <c r="Q139" s="1320">
        <f>SUM(Q140:Q143)</f>
        <v>1036840000</v>
      </c>
      <c r="R139" s="1327">
        <f>SUM(R140:R143)</f>
        <v>94662000</v>
      </c>
      <c r="S139" s="1327">
        <f>SUM(S140:S143)</f>
        <v>58553000</v>
      </c>
      <c r="T139" s="1312">
        <f t="shared" si="18"/>
        <v>9.1298561012306628E-2</v>
      </c>
      <c r="U139" s="1312">
        <f t="shared" si="18"/>
        <v>0.61854809744142314</v>
      </c>
      <c r="V139" s="1490"/>
      <c r="W139" s="1490"/>
      <c r="X139" s="1303"/>
      <c r="Y139" s="3107" t="s">
        <v>1752</v>
      </c>
    </row>
    <row r="140" spans="1:25" ht="66">
      <c r="A140" s="3121"/>
      <c r="B140" s="3109"/>
      <c r="C140" s="3109"/>
      <c r="D140" s="3111"/>
      <c r="E140" s="1434" t="s">
        <v>2031</v>
      </c>
      <c r="F140" s="1425"/>
      <c r="G140" s="1423"/>
      <c r="H140" s="1425"/>
      <c r="I140" s="1415" t="s">
        <v>2032</v>
      </c>
      <c r="J140" s="1415" t="s">
        <v>1782</v>
      </c>
      <c r="K140" s="1441">
        <v>1</v>
      </c>
      <c r="L140" s="1478">
        <v>0.24</v>
      </c>
      <c r="M140" s="1343">
        <v>0.05</v>
      </c>
      <c r="N140" s="1310">
        <v>1.2E-2</v>
      </c>
      <c r="O140" s="3120"/>
      <c r="P140" s="1472">
        <v>79048400</v>
      </c>
      <c r="Q140" s="1344">
        <v>79048400</v>
      </c>
      <c r="R140" s="1344">
        <v>9669000</v>
      </c>
      <c r="S140" s="1344">
        <v>7251750</v>
      </c>
      <c r="T140" s="1312">
        <f t="shared" si="18"/>
        <v>0.12231746626117669</v>
      </c>
      <c r="U140" s="1312">
        <f t="shared" si="18"/>
        <v>0.75</v>
      </c>
      <c r="V140" s="1423" t="s">
        <v>1822</v>
      </c>
      <c r="W140" s="1423" t="s">
        <v>1823</v>
      </c>
      <c r="X140" s="1303" t="s">
        <v>2033</v>
      </c>
      <c r="Y140" s="3107"/>
    </row>
    <row r="141" spans="1:25" ht="105.6">
      <c r="A141" s="3121"/>
      <c r="B141" s="3109"/>
      <c r="C141" s="3109"/>
      <c r="D141" s="3111"/>
      <c r="E141" s="1434" t="s">
        <v>2034</v>
      </c>
      <c r="F141" s="1425"/>
      <c r="G141" s="1423"/>
      <c r="H141" s="1425"/>
      <c r="I141" s="1415" t="s">
        <v>2035</v>
      </c>
      <c r="J141" s="1415" t="s">
        <v>1756</v>
      </c>
      <c r="K141" s="1441">
        <v>5</v>
      </c>
      <c r="L141" s="1478">
        <v>0.21</v>
      </c>
      <c r="M141" s="1337">
        <v>0</v>
      </c>
      <c r="N141" s="1324">
        <v>0</v>
      </c>
      <c r="O141" s="3120"/>
      <c r="P141" s="1472">
        <v>98608750</v>
      </c>
      <c r="Q141" s="1344">
        <v>98608750</v>
      </c>
      <c r="R141" s="1344">
        <v>26852500</v>
      </c>
      <c r="S141" s="1344">
        <v>15053667</v>
      </c>
      <c r="T141" s="1312">
        <f t="shared" si="18"/>
        <v>0.27231356243741045</v>
      </c>
      <c r="U141" s="1312">
        <f t="shared" si="18"/>
        <v>0.56060579089470253</v>
      </c>
      <c r="V141" s="1423" t="s">
        <v>1822</v>
      </c>
      <c r="W141" s="1423" t="s">
        <v>1823</v>
      </c>
      <c r="X141" s="1303" t="s">
        <v>2036</v>
      </c>
      <c r="Y141" s="3107"/>
    </row>
    <row r="142" spans="1:25" ht="92.4">
      <c r="A142" s="3121"/>
      <c r="B142" s="3109"/>
      <c r="C142" s="3109"/>
      <c r="D142" s="3111"/>
      <c r="E142" s="1434" t="s">
        <v>2037</v>
      </c>
      <c r="F142" s="1425"/>
      <c r="G142" s="1423"/>
      <c r="H142" s="1425"/>
      <c r="I142" s="1415" t="s">
        <v>2038</v>
      </c>
      <c r="J142" s="1415" t="s">
        <v>1830</v>
      </c>
      <c r="K142" s="1441">
        <v>5</v>
      </c>
      <c r="L142" s="1478">
        <v>0.38</v>
      </c>
      <c r="M142" s="1359">
        <v>0</v>
      </c>
      <c r="N142" s="1315">
        <v>0</v>
      </c>
      <c r="O142" s="3120"/>
      <c r="P142" s="1472">
        <v>786019950</v>
      </c>
      <c r="Q142" s="1344">
        <v>786019950</v>
      </c>
      <c r="R142" s="1344">
        <v>40388500</v>
      </c>
      <c r="S142" s="1344">
        <v>22933583</v>
      </c>
      <c r="T142" s="1312">
        <f t="shared" si="18"/>
        <v>5.1383555849950122E-2</v>
      </c>
      <c r="U142" s="1312">
        <f t="shared" si="18"/>
        <v>0.5678245787786127</v>
      </c>
      <c r="V142" s="1423" t="s">
        <v>1822</v>
      </c>
      <c r="W142" s="1423" t="s">
        <v>1823</v>
      </c>
      <c r="X142" s="1303" t="s">
        <v>2039</v>
      </c>
      <c r="Y142" s="3107"/>
    </row>
    <row r="143" spans="1:25" ht="118.8">
      <c r="A143" s="3121"/>
      <c r="B143" s="3109"/>
      <c r="C143" s="3109"/>
      <c r="D143" s="3111"/>
      <c r="E143" s="1434" t="s">
        <v>2040</v>
      </c>
      <c r="F143" s="1425"/>
      <c r="G143" s="1415" t="s">
        <v>2041</v>
      </c>
      <c r="H143" s="1425"/>
      <c r="I143" s="1415" t="s">
        <v>2042</v>
      </c>
      <c r="J143" s="1415" t="s">
        <v>2043</v>
      </c>
      <c r="K143" s="1441">
        <v>5</v>
      </c>
      <c r="L143" s="1478">
        <v>0.17</v>
      </c>
      <c r="M143" s="1359">
        <v>0</v>
      </c>
      <c r="N143" s="1315">
        <v>0</v>
      </c>
      <c r="O143" s="3120"/>
      <c r="P143" s="1472">
        <v>73162900</v>
      </c>
      <c r="Q143" s="1344">
        <v>73162900</v>
      </c>
      <c r="R143" s="1344">
        <v>17752000</v>
      </c>
      <c r="S143" s="1344">
        <v>13314000</v>
      </c>
      <c r="T143" s="1312">
        <f t="shared" si="18"/>
        <v>0.24263663687470016</v>
      </c>
      <c r="U143" s="1312">
        <f t="shared" si="18"/>
        <v>0.75</v>
      </c>
      <c r="V143" s="1423" t="s">
        <v>1822</v>
      </c>
      <c r="W143" s="1423" t="s">
        <v>1823</v>
      </c>
      <c r="X143" s="1303" t="s">
        <v>2044</v>
      </c>
      <c r="Y143" s="3107"/>
    </row>
    <row r="144" spans="1:25" ht="27.6">
      <c r="A144" s="1444"/>
      <c r="B144" s="1422">
        <v>52030010017</v>
      </c>
      <c r="C144" s="1422" t="s">
        <v>117</v>
      </c>
      <c r="D144" s="1412" t="s">
        <v>2045</v>
      </c>
      <c r="E144" s="1434"/>
      <c r="F144" s="1505"/>
      <c r="G144" s="1450"/>
      <c r="H144" s="1444"/>
      <c r="I144" s="1450"/>
      <c r="J144" s="1504"/>
      <c r="K144" s="1444"/>
      <c r="L144" s="1450"/>
      <c r="M144" s="1359"/>
      <c r="N144" s="1315"/>
      <c r="O144" s="1353"/>
      <c r="P144" s="1450"/>
      <c r="Q144" s="1311"/>
      <c r="R144" s="1311"/>
      <c r="S144" s="1327"/>
      <c r="T144" s="1312"/>
      <c r="U144" s="1312"/>
      <c r="V144" s="1450"/>
      <c r="W144" s="1450"/>
      <c r="X144" s="1303"/>
      <c r="Y144" s="1405"/>
    </row>
    <row r="145" spans="1:25">
      <c r="A145" s="3109">
        <v>4145</v>
      </c>
      <c r="B145" s="3109"/>
      <c r="C145" s="3109" t="s">
        <v>123</v>
      </c>
      <c r="D145" s="3111" t="s">
        <v>2046</v>
      </c>
      <c r="E145" s="1434" t="s">
        <v>2047</v>
      </c>
      <c r="F145" s="1425"/>
      <c r="G145" s="1423"/>
      <c r="H145" s="1425"/>
      <c r="I145" s="1423"/>
      <c r="J145" s="1434"/>
      <c r="K145" s="1441">
        <f>SUM(K146:K148)</f>
        <v>8180</v>
      </c>
      <c r="L145" s="1478">
        <f>SUM(L146:L148)</f>
        <v>1</v>
      </c>
      <c r="M145" s="1343"/>
      <c r="N145" s="1310">
        <f>SUM(N146:N148)</f>
        <v>4.0450403638436758E-2</v>
      </c>
      <c r="O145" s="3120">
        <f>IF(Q145&gt;0,N145,"na")</f>
        <v>4.0450403638436758E-2</v>
      </c>
      <c r="P145" s="1472">
        <f>SUM(P146:P148)</f>
        <v>610812936</v>
      </c>
      <c r="Q145" s="1344">
        <f>SUM(Q146:Q148)</f>
        <v>610812936</v>
      </c>
      <c r="R145" s="1344">
        <f>SUM(R146:R148)</f>
        <v>53256000</v>
      </c>
      <c r="S145" s="1344">
        <f>SUM(S146:S148)</f>
        <v>17752000</v>
      </c>
      <c r="T145" s="1312">
        <f t="shared" ref="T145:U148" si="19">IF(Q145=0,0,R145/Q145)</f>
        <v>8.7188723193642376E-2</v>
      </c>
      <c r="U145" s="1312">
        <f t="shared" si="19"/>
        <v>0.33333333333333331</v>
      </c>
      <c r="V145" s="1490"/>
      <c r="W145" s="1490"/>
      <c r="X145" s="1303"/>
      <c r="Y145" s="3107" t="s">
        <v>1752</v>
      </c>
    </row>
    <row r="146" spans="1:25" ht="198">
      <c r="A146" s="3109"/>
      <c r="B146" s="3109"/>
      <c r="C146" s="3109"/>
      <c r="D146" s="3111"/>
      <c r="E146" s="1434" t="s">
        <v>2048</v>
      </c>
      <c r="F146" s="1425"/>
      <c r="G146" s="1415" t="s">
        <v>2049</v>
      </c>
      <c r="H146" s="1425"/>
      <c r="I146" s="1571" t="s">
        <v>2050</v>
      </c>
      <c r="J146" s="1415" t="s">
        <v>2051</v>
      </c>
      <c r="K146" s="1441">
        <v>6387</v>
      </c>
      <c r="L146" s="1454">
        <v>0.3</v>
      </c>
      <c r="M146" s="1337">
        <v>229</v>
      </c>
      <c r="N146" s="1324">
        <v>1.0756223579145139E-2</v>
      </c>
      <c r="O146" s="3120"/>
      <c r="P146" s="1441">
        <v>139574400</v>
      </c>
      <c r="Q146" s="1311">
        <v>139574400</v>
      </c>
      <c r="R146" s="1311">
        <v>8876000</v>
      </c>
      <c r="S146" s="1311">
        <v>2958667</v>
      </c>
      <c r="T146" s="1312">
        <f t="shared" si="19"/>
        <v>6.3593323704060345E-2</v>
      </c>
      <c r="U146" s="1312">
        <f t="shared" si="19"/>
        <v>0.33333337088778731</v>
      </c>
      <c r="V146" s="1490">
        <v>45323</v>
      </c>
      <c r="W146" s="1490" t="s">
        <v>1823</v>
      </c>
      <c r="X146" s="1572" t="s">
        <v>2052</v>
      </c>
      <c r="Y146" s="3107"/>
    </row>
    <row r="147" spans="1:25" ht="118.8">
      <c r="A147" s="3109"/>
      <c r="B147" s="3109"/>
      <c r="C147" s="3109"/>
      <c r="D147" s="3111"/>
      <c r="E147" s="1434" t="s">
        <v>2053</v>
      </c>
      <c r="F147" s="1425"/>
      <c r="G147" s="1415"/>
      <c r="H147" s="1453"/>
      <c r="I147" s="1415" t="s">
        <v>2054</v>
      </c>
      <c r="J147" s="1415" t="s">
        <v>2055</v>
      </c>
      <c r="K147" s="1441">
        <v>493</v>
      </c>
      <c r="L147" s="1454">
        <v>0.4</v>
      </c>
      <c r="M147" s="1337">
        <v>11</v>
      </c>
      <c r="N147" s="1315">
        <v>8.9249492900608518E-3</v>
      </c>
      <c r="O147" s="3120"/>
      <c r="P147" s="1441">
        <v>378201600</v>
      </c>
      <c r="Q147" s="1311">
        <v>378201600</v>
      </c>
      <c r="R147" s="1311">
        <v>39942000</v>
      </c>
      <c r="S147" s="1311">
        <v>13314000</v>
      </c>
      <c r="T147" s="1312">
        <f t="shared" si="19"/>
        <v>0.10561034115138593</v>
      </c>
      <c r="U147" s="1312">
        <f t="shared" si="19"/>
        <v>0.33333333333333331</v>
      </c>
      <c r="V147" s="1490">
        <v>45323</v>
      </c>
      <c r="W147" s="1490" t="s">
        <v>1823</v>
      </c>
      <c r="X147" s="1572" t="s">
        <v>2056</v>
      </c>
      <c r="Y147" s="3107"/>
    </row>
    <row r="148" spans="1:25" ht="92.4">
      <c r="A148" s="3109"/>
      <c r="B148" s="3109"/>
      <c r="C148" s="3109"/>
      <c r="D148" s="3111"/>
      <c r="E148" s="1434" t="s">
        <v>2057</v>
      </c>
      <c r="F148" s="1425"/>
      <c r="G148" s="1415"/>
      <c r="H148" s="1453"/>
      <c r="I148" s="1415" t="s">
        <v>2058</v>
      </c>
      <c r="J148" s="1415" t="s">
        <v>120</v>
      </c>
      <c r="K148" s="1441">
        <v>1300</v>
      </c>
      <c r="L148" s="1454">
        <v>0.3</v>
      </c>
      <c r="M148" s="1359">
        <v>90</v>
      </c>
      <c r="N148" s="1315">
        <v>2.0769230769230769E-2</v>
      </c>
      <c r="O148" s="3120"/>
      <c r="P148" s="1441">
        <v>93036936</v>
      </c>
      <c r="Q148" s="1311">
        <v>93036936</v>
      </c>
      <c r="R148" s="1311">
        <v>4438000</v>
      </c>
      <c r="S148" s="1311">
        <v>1479333</v>
      </c>
      <c r="T148" s="1312">
        <f t="shared" si="19"/>
        <v>4.7701484924224075E-2</v>
      </c>
      <c r="U148" s="1312">
        <f t="shared" si="19"/>
        <v>0.33333325822442544</v>
      </c>
      <c r="V148" s="1490">
        <v>45323</v>
      </c>
      <c r="W148" s="1490" t="s">
        <v>1823</v>
      </c>
      <c r="X148" s="1572" t="s">
        <v>2059</v>
      </c>
      <c r="Y148" s="3107"/>
    </row>
    <row r="149" spans="1:25">
      <c r="A149" s="1444"/>
      <c r="B149" s="1444">
        <v>5203002</v>
      </c>
      <c r="C149" s="1444" t="s">
        <v>116</v>
      </c>
      <c r="D149" s="1410" t="s">
        <v>2060</v>
      </c>
      <c r="E149" s="1504"/>
      <c r="F149" s="1444"/>
      <c r="G149" s="1450"/>
      <c r="H149" s="1444"/>
      <c r="I149" s="1450"/>
      <c r="J149" s="1504"/>
      <c r="K149" s="1444"/>
      <c r="L149" s="1450"/>
      <c r="M149" s="1360"/>
      <c r="N149" s="1289"/>
      <c r="O149" s="1361"/>
      <c r="P149" s="1450"/>
      <c r="Q149" s="1362"/>
      <c r="R149" s="1362"/>
      <c r="S149" s="1362"/>
      <c r="T149" s="1306"/>
      <c r="U149" s="1306"/>
      <c r="V149" s="1450"/>
      <c r="W149" s="1450"/>
      <c r="X149" s="1363"/>
      <c r="Y149" s="1405"/>
    </row>
    <row r="150" spans="1:25">
      <c r="A150" s="1422"/>
      <c r="B150" s="1422">
        <v>52030020001</v>
      </c>
      <c r="C150" s="1422" t="s">
        <v>117</v>
      </c>
      <c r="D150" s="1412" t="s">
        <v>2061</v>
      </c>
      <c r="E150" s="1506"/>
      <c r="F150" s="1422"/>
      <c r="G150" s="1430"/>
      <c r="H150" s="1422"/>
      <c r="I150" s="1430"/>
      <c r="J150" s="1507"/>
      <c r="K150" s="1422"/>
      <c r="L150" s="1430"/>
      <c r="M150" s="1569"/>
      <c r="N150" s="1319"/>
      <c r="O150" s="1319"/>
      <c r="P150" s="1430"/>
      <c r="Q150" s="1570"/>
      <c r="R150" s="1570"/>
      <c r="S150" s="1570"/>
      <c r="T150" s="1308"/>
      <c r="U150" s="1308"/>
      <c r="V150" s="1430"/>
      <c r="W150" s="1430"/>
      <c r="X150" s="1364"/>
      <c r="Y150" s="1411"/>
    </row>
    <row r="151" spans="1:25">
      <c r="A151" s="3109">
        <v>4145</v>
      </c>
      <c r="B151" s="3109"/>
      <c r="C151" s="3109" t="s">
        <v>123</v>
      </c>
      <c r="D151" s="3111" t="s">
        <v>2062</v>
      </c>
      <c r="E151" s="1434" t="s">
        <v>2063</v>
      </c>
      <c r="F151" s="1425"/>
      <c r="G151" s="1423"/>
      <c r="H151" s="1508"/>
      <c r="I151" s="1423"/>
      <c r="J151" s="1434"/>
      <c r="K151" s="1441">
        <f>SUM(K152)</f>
        <v>7027</v>
      </c>
      <c r="L151" s="1454">
        <f>SUM(L152:L155)</f>
        <v>0.99999999999999989</v>
      </c>
      <c r="M151" s="1343"/>
      <c r="N151" s="1310">
        <f>SUM(N152:N155)</f>
        <v>0.24999999999999997</v>
      </c>
      <c r="O151" s="3120">
        <f>IF(Q151&gt;0,N151,"na")</f>
        <v>0.24999999999999997</v>
      </c>
      <c r="P151" s="1472">
        <f>SUM(P152:P155)</f>
        <v>1310776726510</v>
      </c>
      <c r="Q151" s="1311">
        <f>SUM(Q152:Q155)</f>
        <v>1310776726510</v>
      </c>
      <c r="R151" s="1311">
        <f>SUM(R152:R155)</f>
        <v>320871999425</v>
      </c>
      <c r="S151" s="1311">
        <f>SUM(S152:S155)</f>
        <v>320832478425</v>
      </c>
      <c r="T151" s="1312">
        <f t="shared" ref="T151:U155" si="20">IF(Q151=0,0,R151/Q151)</f>
        <v>0.24479531329438206</v>
      </c>
      <c r="U151" s="1312">
        <f t="shared" si="20"/>
        <v>0.9998768325061993</v>
      </c>
      <c r="V151" s="1490"/>
      <c r="W151" s="1490"/>
      <c r="X151" s="1303"/>
      <c r="Y151" s="3107" t="s">
        <v>1991</v>
      </c>
    </row>
    <row r="152" spans="1:25" ht="92.4">
      <c r="A152" s="3109"/>
      <c r="B152" s="3109"/>
      <c r="C152" s="3109"/>
      <c r="D152" s="3111"/>
      <c r="E152" s="1434" t="s">
        <v>2064</v>
      </c>
      <c r="F152" s="1425"/>
      <c r="G152" s="1415" t="s">
        <v>2065</v>
      </c>
      <c r="H152" s="1508"/>
      <c r="I152" s="1415" t="s">
        <v>2066</v>
      </c>
      <c r="J152" s="1415" t="s">
        <v>2067</v>
      </c>
      <c r="K152" s="1477">
        <v>7027</v>
      </c>
      <c r="L152" s="1454">
        <v>0.7</v>
      </c>
      <c r="M152" s="1326">
        <v>6711</v>
      </c>
      <c r="N152" s="1315">
        <v>0.17499999999999999</v>
      </c>
      <c r="O152" s="3120"/>
      <c r="P152" s="1472">
        <v>466116000</v>
      </c>
      <c r="Q152" s="1311">
        <v>466116000</v>
      </c>
      <c r="R152" s="1311">
        <v>70436996</v>
      </c>
      <c r="S152" s="1311">
        <v>45119664</v>
      </c>
      <c r="T152" s="1312">
        <f t="shared" si="20"/>
        <v>0.15111473538775755</v>
      </c>
      <c r="U152" s="1312">
        <f t="shared" si="20"/>
        <v>0.64056769258018897</v>
      </c>
      <c r="V152" s="1509" t="s">
        <v>1822</v>
      </c>
      <c r="W152" s="1509" t="s">
        <v>1823</v>
      </c>
      <c r="X152" s="1303" t="s">
        <v>2068</v>
      </c>
      <c r="Y152" s="3107"/>
    </row>
    <row r="153" spans="1:25" ht="92.4">
      <c r="A153" s="3109"/>
      <c r="B153" s="3109"/>
      <c r="C153" s="3109"/>
      <c r="D153" s="3111"/>
      <c r="E153" s="1434" t="s">
        <v>2069</v>
      </c>
      <c r="F153" s="1425"/>
      <c r="G153" s="1423"/>
      <c r="H153" s="1425"/>
      <c r="I153" s="1415" t="s">
        <v>2070</v>
      </c>
      <c r="J153" s="1415" t="s">
        <v>2071</v>
      </c>
      <c r="K153" s="1477">
        <v>2</v>
      </c>
      <c r="L153" s="1454">
        <v>0.1</v>
      </c>
      <c r="M153" s="1326">
        <v>0</v>
      </c>
      <c r="N153" s="1315">
        <v>2.5000000000000001E-2</v>
      </c>
      <c r="O153" s="3120"/>
      <c r="P153" s="1472">
        <v>234969000</v>
      </c>
      <c r="Q153" s="1311">
        <v>234969000</v>
      </c>
      <c r="R153" s="1311">
        <v>31100002</v>
      </c>
      <c r="S153" s="1311">
        <v>18819668</v>
      </c>
      <c r="T153" s="1312">
        <f t="shared" si="20"/>
        <v>0.13235789402006223</v>
      </c>
      <c r="U153" s="1312">
        <f t="shared" si="20"/>
        <v>0.60513398037723598</v>
      </c>
      <c r="V153" s="1509" t="s">
        <v>1822</v>
      </c>
      <c r="W153" s="1509" t="s">
        <v>1823</v>
      </c>
      <c r="X153" s="1303" t="s">
        <v>2072</v>
      </c>
      <c r="Y153" s="3107"/>
    </row>
    <row r="154" spans="1:25" ht="52.8">
      <c r="A154" s="3109"/>
      <c r="B154" s="3109"/>
      <c r="C154" s="3109"/>
      <c r="D154" s="3111"/>
      <c r="E154" s="1434" t="s">
        <v>2073</v>
      </c>
      <c r="F154" s="1425"/>
      <c r="G154" s="1423"/>
      <c r="H154" s="1425"/>
      <c r="I154" s="1415" t="s">
        <v>2074</v>
      </c>
      <c r="J154" s="1415" t="s">
        <v>2075</v>
      </c>
      <c r="K154" s="1477">
        <v>12</v>
      </c>
      <c r="L154" s="1454">
        <v>0.1</v>
      </c>
      <c r="M154" s="1326">
        <v>3</v>
      </c>
      <c r="N154" s="1315">
        <v>2.5000000000000001E-2</v>
      </c>
      <c r="O154" s="3120"/>
      <c r="P154" s="1472">
        <v>23415000</v>
      </c>
      <c r="Q154" s="1311">
        <v>23415000</v>
      </c>
      <c r="R154" s="1311">
        <v>5770002</v>
      </c>
      <c r="S154" s="1311">
        <v>3846668</v>
      </c>
      <c r="T154" s="1312">
        <f t="shared" si="20"/>
        <v>0.24642331838565024</v>
      </c>
      <c r="U154" s="1312">
        <f t="shared" si="20"/>
        <v>0.66666666666666663</v>
      </c>
      <c r="V154" s="1509" t="s">
        <v>1822</v>
      </c>
      <c r="W154" s="1509" t="s">
        <v>1823</v>
      </c>
      <c r="X154" s="1303" t="s">
        <v>2076</v>
      </c>
      <c r="Y154" s="3107"/>
    </row>
    <row r="155" spans="1:25" ht="79.2">
      <c r="A155" s="3109"/>
      <c r="B155" s="3109"/>
      <c r="C155" s="3109"/>
      <c r="D155" s="3111"/>
      <c r="E155" s="1434" t="s">
        <v>2077</v>
      </c>
      <c r="F155" s="1425"/>
      <c r="G155" s="1423"/>
      <c r="H155" s="1425"/>
      <c r="I155" s="1415" t="s">
        <v>2078</v>
      </c>
      <c r="J155" s="1415" t="s">
        <v>2079</v>
      </c>
      <c r="K155" s="1477">
        <v>1</v>
      </c>
      <c r="L155" s="1454">
        <v>0.1</v>
      </c>
      <c r="M155" s="1326">
        <v>0</v>
      </c>
      <c r="N155" s="1315">
        <v>2.5000000000000001E-2</v>
      </c>
      <c r="O155" s="3120"/>
      <c r="P155" s="1472">
        <v>1310052226510</v>
      </c>
      <c r="Q155" s="1311">
        <v>1310052226510</v>
      </c>
      <c r="R155" s="1311">
        <v>320764692425</v>
      </c>
      <c r="S155" s="1311">
        <v>320764692425</v>
      </c>
      <c r="T155" s="1312">
        <f t="shared" si="20"/>
        <v>0.24484878231116194</v>
      </c>
      <c r="U155" s="1312">
        <f t="shared" si="20"/>
        <v>1</v>
      </c>
      <c r="V155" s="1509" t="s">
        <v>1822</v>
      </c>
      <c r="W155" s="1509" t="s">
        <v>1823</v>
      </c>
      <c r="X155" s="1303" t="s">
        <v>2080</v>
      </c>
      <c r="Y155" s="3107"/>
    </row>
    <row r="156" spans="1:25">
      <c r="A156" s="1422"/>
      <c r="B156" s="1422">
        <v>52030020003</v>
      </c>
      <c r="C156" s="1422" t="s">
        <v>117</v>
      </c>
      <c r="D156" s="1412" t="s">
        <v>2081</v>
      </c>
      <c r="E156" s="1506"/>
      <c r="F156" s="1430"/>
      <c r="G156" s="1430"/>
      <c r="H156" s="1422"/>
      <c r="I156" s="1412"/>
      <c r="J156" s="1506"/>
      <c r="K156" s="1422"/>
      <c r="L156" s="1430"/>
      <c r="M156" s="1365"/>
      <c r="N156" s="1333"/>
      <c r="O156" s="1510"/>
      <c r="P156" s="1430"/>
      <c r="Q156" s="1366"/>
      <c r="R156" s="1366"/>
      <c r="S156" s="1366"/>
      <c r="T156" s="1308"/>
      <c r="U156" s="1308"/>
      <c r="V156" s="1430"/>
      <c r="W156" s="1430"/>
      <c r="X156" s="1364"/>
      <c r="Y156" s="1411"/>
    </row>
    <row r="157" spans="1:25">
      <c r="A157" s="3109">
        <v>4145</v>
      </c>
      <c r="B157" s="3109"/>
      <c r="C157" s="3109" t="s">
        <v>123</v>
      </c>
      <c r="D157" s="3111" t="s">
        <v>2082</v>
      </c>
      <c r="E157" s="1434" t="s">
        <v>2083</v>
      </c>
      <c r="F157" s="1425"/>
      <c r="G157" s="1423"/>
      <c r="H157" s="1508"/>
      <c r="I157" s="1414"/>
      <c r="J157" s="1434"/>
      <c r="K157" s="1477">
        <f>SUM(K159)</f>
        <v>124600</v>
      </c>
      <c r="L157" s="1454">
        <f>SUM(L158:L159)</f>
        <v>1</v>
      </c>
      <c r="M157" s="1326"/>
      <c r="N157" s="1315">
        <f>SUM(N158:N159)</f>
        <v>0.24999999999999997</v>
      </c>
      <c r="O157" s="3113">
        <f>IF(Q157&gt;0,N157,"na")</f>
        <v>0.24999999999999997</v>
      </c>
      <c r="P157" s="1472">
        <f>SUM(P158:P159)</f>
        <v>4277274360</v>
      </c>
      <c r="Q157" s="1311">
        <f>SUM(Q158:Q159)</f>
        <v>4277274360</v>
      </c>
      <c r="R157" s="1311">
        <f>SUM(R158:R159)</f>
        <v>77412000</v>
      </c>
      <c r="S157" s="1311">
        <f>SUM(S158:S159)</f>
        <v>51402000</v>
      </c>
      <c r="T157" s="1312">
        <f t="shared" ref="T157:U164" si="21">IF(Q157=0,0,R157/Q157)</f>
        <v>1.8098441550520504E-2</v>
      </c>
      <c r="U157" s="1312">
        <f t="shared" si="21"/>
        <v>0.66400558053015035</v>
      </c>
      <c r="V157" s="1490"/>
      <c r="W157" s="1490"/>
      <c r="X157" s="1303"/>
      <c r="Y157" s="3107" t="s">
        <v>1991</v>
      </c>
    </row>
    <row r="158" spans="1:25" ht="52.8">
      <c r="A158" s="3109"/>
      <c r="B158" s="3109"/>
      <c r="C158" s="3109"/>
      <c r="D158" s="3111"/>
      <c r="E158" s="1434" t="s">
        <v>2084</v>
      </c>
      <c r="F158" s="1425"/>
      <c r="G158" s="1573"/>
      <c r="H158" s="1573"/>
      <c r="I158" s="1415" t="s">
        <v>2085</v>
      </c>
      <c r="J158" s="1415" t="s">
        <v>2086</v>
      </c>
      <c r="K158" s="1477">
        <v>10</v>
      </c>
      <c r="L158" s="1454">
        <v>0.1</v>
      </c>
      <c r="M158" s="1326">
        <v>9</v>
      </c>
      <c r="N158" s="1315">
        <v>2.5000000000000001E-2</v>
      </c>
      <c r="O158" s="3113"/>
      <c r="P158" s="1472">
        <v>247566000</v>
      </c>
      <c r="Q158" s="1311">
        <v>247566000</v>
      </c>
      <c r="R158" s="1311">
        <v>51607988</v>
      </c>
      <c r="S158" s="1311">
        <v>34267992</v>
      </c>
      <c r="T158" s="1574">
        <f t="shared" si="21"/>
        <v>0.20846153349005922</v>
      </c>
      <c r="U158" s="1574">
        <f t="shared" si="21"/>
        <v>0.66400557991138887</v>
      </c>
      <c r="V158" s="1511" t="s">
        <v>1822</v>
      </c>
      <c r="W158" s="1511" t="s">
        <v>1823</v>
      </c>
      <c r="X158" s="1367" t="s">
        <v>2087</v>
      </c>
      <c r="Y158" s="3107"/>
    </row>
    <row r="159" spans="1:25" ht="39.6">
      <c r="A159" s="3109"/>
      <c r="B159" s="3109"/>
      <c r="C159" s="3109"/>
      <c r="D159" s="3111"/>
      <c r="E159" s="1434" t="s">
        <v>2088</v>
      </c>
      <c r="F159" s="1425"/>
      <c r="G159" s="1415" t="s">
        <v>2081</v>
      </c>
      <c r="H159" s="1508"/>
      <c r="I159" s="1415" t="s">
        <v>2089</v>
      </c>
      <c r="J159" s="1415" t="s">
        <v>1945</v>
      </c>
      <c r="K159" s="1477">
        <v>124600</v>
      </c>
      <c r="L159" s="1454">
        <v>0.9</v>
      </c>
      <c r="M159" s="1337">
        <v>3806</v>
      </c>
      <c r="N159" s="1324">
        <v>0.22499999999999998</v>
      </c>
      <c r="O159" s="3113"/>
      <c r="P159" s="1472">
        <v>4029708360</v>
      </c>
      <c r="Q159" s="1311">
        <v>4029708360</v>
      </c>
      <c r="R159" s="1311">
        <v>25804012</v>
      </c>
      <c r="S159" s="1311">
        <v>17134008</v>
      </c>
      <c r="T159" s="1574">
        <f t="shared" si="21"/>
        <v>6.403444044769533E-3</v>
      </c>
      <c r="U159" s="1574">
        <f t="shared" si="21"/>
        <v>0.66400558176767244</v>
      </c>
      <c r="V159" s="1465" t="s">
        <v>1822</v>
      </c>
      <c r="W159" s="1465" t="s">
        <v>1823</v>
      </c>
      <c r="X159" s="1367" t="s">
        <v>2090</v>
      </c>
      <c r="Y159" s="3107"/>
    </row>
    <row r="160" spans="1:25">
      <c r="A160" s="1422"/>
      <c r="B160" s="1422">
        <v>52030020004</v>
      </c>
      <c r="C160" s="1422" t="s">
        <v>117</v>
      </c>
      <c r="D160" s="1412" t="s">
        <v>2091</v>
      </c>
      <c r="E160" s="1506"/>
      <c r="F160" s="1458"/>
      <c r="G160" s="1430"/>
      <c r="H160" s="1422"/>
      <c r="I160" s="1432"/>
      <c r="J160" s="1432"/>
      <c r="K160" s="1422"/>
      <c r="L160" s="1430"/>
      <c r="M160" s="1332"/>
      <c r="N160" s="1293"/>
      <c r="O160" s="1319"/>
      <c r="P160" s="1430"/>
      <c r="Q160" s="1368"/>
      <c r="R160" s="1368"/>
      <c r="S160" s="1369"/>
      <c r="T160" s="1308"/>
      <c r="U160" s="1308"/>
      <c r="V160" s="1430"/>
      <c r="W160" s="1430"/>
      <c r="X160" s="1364"/>
      <c r="Y160" s="1411"/>
    </row>
    <row r="161" spans="1:25">
      <c r="A161" s="3109">
        <v>4145</v>
      </c>
      <c r="B161" s="3109"/>
      <c r="C161" s="3109" t="s">
        <v>123</v>
      </c>
      <c r="D161" s="3111" t="s">
        <v>2092</v>
      </c>
      <c r="E161" s="1434" t="s">
        <v>2093</v>
      </c>
      <c r="F161" s="1425"/>
      <c r="G161" s="1423"/>
      <c r="H161" s="1453"/>
      <c r="I161" s="1415"/>
      <c r="J161" s="1415"/>
      <c r="K161" s="1477">
        <f>SUM(K162)</f>
        <v>150</v>
      </c>
      <c r="L161" s="1454">
        <f>SUM(L162:L164)</f>
        <v>1</v>
      </c>
      <c r="M161" s="1337"/>
      <c r="N161" s="1315">
        <f>SUM(N162:N164)</f>
        <v>0.25</v>
      </c>
      <c r="O161" s="3113">
        <f>IF(Q161&gt;0,N161,"na")</f>
        <v>0.25</v>
      </c>
      <c r="P161" s="1472">
        <f>SUM(P162:P164)</f>
        <v>3265632413</v>
      </c>
      <c r="Q161" s="1311">
        <f>SUM(Q162:Q164)</f>
        <v>3265632413</v>
      </c>
      <c r="R161" s="1311">
        <f>SUM(R162:R164)</f>
        <v>726161500</v>
      </c>
      <c r="S161" s="1327">
        <f>SUM(S162:S164)</f>
        <v>470639500</v>
      </c>
      <c r="T161" s="1312">
        <f t="shared" si="21"/>
        <v>0.22236473924905276</v>
      </c>
      <c r="U161" s="1312">
        <f t="shared" si="21"/>
        <v>0.64811959873939884</v>
      </c>
      <c r="V161" s="1490"/>
      <c r="W161" s="1490"/>
      <c r="X161" s="1303"/>
      <c r="Y161" s="3107" t="s">
        <v>1991</v>
      </c>
    </row>
    <row r="162" spans="1:25" ht="92.4">
      <c r="A162" s="3109"/>
      <c r="B162" s="3109"/>
      <c r="C162" s="3109"/>
      <c r="D162" s="3111"/>
      <c r="E162" s="1434" t="s">
        <v>2094</v>
      </c>
      <c r="F162" s="1425"/>
      <c r="G162" s="1415" t="s">
        <v>2095</v>
      </c>
      <c r="H162" s="1453"/>
      <c r="I162" s="1415" t="s">
        <v>2096</v>
      </c>
      <c r="J162" s="1415" t="s">
        <v>2097</v>
      </c>
      <c r="K162" s="1477">
        <v>150</v>
      </c>
      <c r="L162" s="1454">
        <v>0.38</v>
      </c>
      <c r="M162" s="1337">
        <v>18</v>
      </c>
      <c r="N162" s="1315">
        <v>9.5000000000000001E-2</v>
      </c>
      <c r="O162" s="3113"/>
      <c r="P162" s="1417">
        <v>1790699513</v>
      </c>
      <c r="Q162" s="1311">
        <v>1790699513</v>
      </c>
      <c r="R162" s="1311">
        <v>375758500</v>
      </c>
      <c r="S162" s="1311">
        <v>224961000</v>
      </c>
      <c r="T162" s="1312">
        <f t="shared" si="21"/>
        <v>0.20983894688756752</v>
      </c>
      <c r="U162" s="1312">
        <f t="shared" si="21"/>
        <v>0.59868505968594188</v>
      </c>
      <c r="V162" s="1425" t="s">
        <v>1822</v>
      </c>
      <c r="W162" s="1490" t="s">
        <v>1823</v>
      </c>
      <c r="X162" s="1303" t="s">
        <v>2098</v>
      </c>
      <c r="Y162" s="3107"/>
    </row>
    <row r="163" spans="1:25" ht="66">
      <c r="A163" s="3109"/>
      <c r="B163" s="3109"/>
      <c r="C163" s="3109"/>
      <c r="D163" s="3111"/>
      <c r="E163" s="1434" t="s">
        <v>2099</v>
      </c>
      <c r="F163" s="1425"/>
      <c r="G163" s="1415"/>
      <c r="H163" s="1425"/>
      <c r="I163" s="1415" t="s">
        <v>2100</v>
      </c>
      <c r="J163" s="1415" t="s">
        <v>2101</v>
      </c>
      <c r="K163" s="1477">
        <v>2</v>
      </c>
      <c r="L163" s="1454">
        <v>0.36</v>
      </c>
      <c r="M163" s="1337">
        <v>0</v>
      </c>
      <c r="N163" s="1315">
        <v>0.09</v>
      </c>
      <c r="O163" s="3113"/>
      <c r="P163" s="1417">
        <v>1447918500</v>
      </c>
      <c r="Q163" s="1311">
        <v>1447918500</v>
      </c>
      <c r="R163" s="1311">
        <v>350403000</v>
      </c>
      <c r="S163" s="1311">
        <v>245678500</v>
      </c>
      <c r="T163" s="1312">
        <f t="shared" si="21"/>
        <v>0.24200464321714241</v>
      </c>
      <c r="U163" s="1312">
        <f t="shared" si="21"/>
        <v>0.7011312688532918</v>
      </c>
      <c r="V163" s="1425" t="s">
        <v>1822</v>
      </c>
      <c r="W163" s="1490" t="s">
        <v>1823</v>
      </c>
      <c r="X163" s="1303" t="s">
        <v>2102</v>
      </c>
      <c r="Y163" s="3107"/>
    </row>
    <row r="164" spans="1:25" ht="52.8">
      <c r="A164" s="3109"/>
      <c r="B164" s="3109"/>
      <c r="C164" s="3109"/>
      <c r="D164" s="3111"/>
      <c r="E164" s="1434" t="s">
        <v>2103</v>
      </c>
      <c r="F164" s="1425"/>
      <c r="G164" s="1423"/>
      <c r="H164" s="1425"/>
      <c r="I164" s="1415" t="s">
        <v>2104</v>
      </c>
      <c r="J164" s="1415" t="s">
        <v>2105</v>
      </c>
      <c r="K164" s="1477">
        <v>1</v>
      </c>
      <c r="L164" s="1454">
        <v>0.26</v>
      </c>
      <c r="M164" s="1337">
        <v>0</v>
      </c>
      <c r="N164" s="1315">
        <v>6.5000000000000002E-2</v>
      </c>
      <c r="O164" s="3113"/>
      <c r="P164" s="1417">
        <v>27014400</v>
      </c>
      <c r="Q164" s="1311">
        <v>27014400</v>
      </c>
      <c r="R164" s="1311">
        <v>0</v>
      </c>
      <c r="S164" s="1311">
        <v>0</v>
      </c>
      <c r="T164" s="1312">
        <f t="shared" si="21"/>
        <v>0</v>
      </c>
      <c r="U164" s="1312">
        <f t="shared" si="21"/>
        <v>0</v>
      </c>
      <c r="V164" s="1490">
        <v>45323</v>
      </c>
      <c r="W164" s="1490" t="s">
        <v>1823</v>
      </c>
      <c r="X164" s="1303"/>
      <c r="Y164" s="3107"/>
    </row>
    <row r="165" spans="1:25">
      <c r="A165" s="1425"/>
      <c r="B165" s="1422">
        <v>52030020005</v>
      </c>
      <c r="C165" s="1422" t="s">
        <v>117</v>
      </c>
      <c r="D165" s="1412" t="s">
        <v>2106</v>
      </c>
      <c r="E165" s="1512"/>
      <c r="F165" s="1413"/>
      <c r="G165" s="1440"/>
      <c r="H165" s="1431"/>
      <c r="I165" s="1438"/>
      <c r="J165" s="1440"/>
      <c r="K165" s="1452"/>
      <c r="L165" s="1442"/>
      <c r="M165" s="1569"/>
      <c r="N165" s="1319"/>
      <c r="O165" s="1310"/>
      <c r="P165" s="1436"/>
      <c r="Q165" s="1570"/>
      <c r="R165" s="1570"/>
      <c r="S165" s="1570"/>
      <c r="T165" s="1308"/>
      <c r="U165" s="1308"/>
      <c r="V165" s="1443"/>
      <c r="W165" s="1490"/>
      <c r="X165" s="1303"/>
      <c r="Y165" s="1425"/>
    </row>
    <row r="166" spans="1:25">
      <c r="A166" s="3109">
        <v>4145</v>
      </c>
      <c r="B166" s="3109"/>
      <c r="C166" s="3109" t="s">
        <v>123</v>
      </c>
      <c r="D166" s="3111" t="s">
        <v>2107</v>
      </c>
      <c r="E166" s="1437" t="s">
        <v>2108</v>
      </c>
      <c r="F166" s="1425"/>
      <c r="G166" s="1434"/>
      <c r="H166" s="1453"/>
      <c r="I166" s="1434"/>
      <c r="J166" s="1423"/>
      <c r="K166" s="1441">
        <f>K167</f>
        <v>26325</v>
      </c>
      <c r="L166" s="1442">
        <f>SUM(L167:L168)</f>
        <v>1</v>
      </c>
      <c r="M166" s="1337"/>
      <c r="N166" s="1324">
        <f>SUM(N167:N168)</f>
        <v>0.13269198074639765</v>
      </c>
      <c r="O166" s="3113">
        <f>IF(Q166&gt;0,N166,"na")</f>
        <v>0.13269198074639765</v>
      </c>
      <c r="P166" s="1417">
        <f>SUM(P167:P168)</f>
        <v>1785000000</v>
      </c>
      <c r="Q166" s="1320">
        <f>SUM(Q167:Q168)</f>
        <v>1785000000</v>
      </c>
      <c r="R166" s="1320">
        <f>SUM(R167:R168)</f>
        <v>316036000</v>
      </c>
      <c r="S166" s="1320">
        <f>SUM(S167:S168)</f>
        <v>195746000</v>
      </c>
      <c r="T166" s="1312">
        <f t="shared" ref="T166:U177" si="22">IF(Q166=0,0,R166/Q166)</f>
        <v>0.17705098039215686</v>
      </c>
      <c r="U166" s="1312">
        <f t="shared" si="22"/>
        <v>0.61937880494627195</v>
      </c>
      <c r="V166" s="1490"/>
      <c r="W166" s="1490"/>
      <c r="X166" s="1303"/>
      <c r="Y166" s="3107" t="s">
        <v>1991</v>
      </c>
    </row>
    <row r="167" spans="1:25" ht="145.19999999999999">
      <c r="A167" s="3109"/>
      <c r="B167" s="3109"/>
      <c r="C167" s="3109"/>
      <c r="D167" s="3111"/>
      <c r="E167" s="1437" t="s">
        <v>2109</v>
      </c>
      <c r="F167" s="1415"/>
      <c r="G167" s="1415" t="s">
        <v>2110</v>
      </c>
      <c r="H167" s="1416"/>
      <c r="I167" s="1415" t="s">
        <v>2111</v>
      </c>
      <c r="J167" s="1415" t="s">
        <v>2112</v>
      </c>
      <c r="K167" s="1441">
        <v>26325</v>
      </c>
      <c r="L167" s="1442">
        <v>0.85</v>
      </c>
      <c r="M167" s="1359">
        <v>2936</v>
      </c>
      <c r="N167" s="1370">
        <v>9.4799620132953469E-2</v>
      </c>
      <c r="O167" s="3113"/>
      <c r="P167" s="1441">
        <v>1405668000</v>
      </c>
      <c r="Q167" s="1320">
        <v>1405668000</v>
      </c>
      <c r="R167" s="1320">
        <v>254238000</v>
      </c>
      <c r="S167" s="1320">
        <v>153742000</v>
      </c>
      <c r="T167" s="1312">
        <f t="shared" si="22"/>
        <v>0.18086632120813734</v>
      </c>
      <c r="U167" s="1312">
        <f t="shared" si="22"/>
        <v>0.60471684012618099</v>
      </c>
      <c r="V167" s="1443">
        <v>45313</v>
      </c>
      <c r="W167" s="1490" t="s">
        <v>1823</v>
      </c>
      <c r="X167" s="1303" t="s">
        <v>2113</v>
      </c>
      <c r="Y167" s="3107"/>
    </row>
    <row r="168" spans="1:25" ht="79.2">
      <c r="A168" s="3109"/>
      <c r="B168" s="3109"/>
      <c r="C168" s="3109"/>
      <c r="D168" s="3111"/>
      <c r="E168" s="1437" t="s">
        <v>2114</v>
      </c>
      <c r="F168" s="1415"/>
      <c r="G168" s="1423"/>
      <c r="H168" s="1424"/>
      <c r="I168" s="1438" t="s">
        <v>2115</v>
      </c>
      <c r="J168" s="1438" t="s">
        <v>2116</v>
      </c>
      <c r="K168" s="1417">
        <v>13954</v>
      </c>
      <c r="L168" s="1442">
        <v>0.15</v>
      </c>
      <c r="M168" s="1359">
        <v>3525</v>
      </c>
      <c r="N168" s="1370">
        <v>3.7892360613444177E-2</v>
      </c>
      <c r="O168" s="3113"/>
      <c r="P168" s="1441">
        <v>379332000</v>
      </c>
      <c r="Q168" s="1320">
        <v>379332000</v>
      </c>
      <c r="R168" s="1320">
        <v>61798000</v>
      </c>
      <c r="S168" s="1320">
        <v>42004000</v>
      </c>
      <c r="T168" s="1312">
        <f t="shared" si="22"/>
        <v>0.16291269916590218</v>
      </c>
      <c r="U168" s="1312">
        <f t="shared" si="22"/>
        <v>0.67969837211560247</v>
      </c>
      <c r="V168" s="1443">
        <v>45313</v>
      </c>
      <c r="W168" s="1490" t="s">
        <v>1823</v>
      </c>
      <c r="X168" s="1303" t="s">
        <v>2117</v>
      </c>
      <c r="Y168" s="3107"/>
    </row>
    <row r="169" spans="1:25">
      <c r="A169" s="3109">
        <v>4145</v>
      </c>
      <c r="B169" s="3119"/>
      <c r="C169" s="3109" t="s">
        <v>123</v>
      </c>
      <c r="D169" s="3111" t="s">
        <v>2118</v>
      </c>
      <c r="E169" s="1437" t="s">
        <v>2119</v>
      </c>
      <c r="F169" s="1425"/>
      <c r="G169" s="1434"/>
      <c r="H169" s="1464"/>
      <c r="I169" s="1513"/>
      <c r="J169" s="1423"/>
      <c r="K169" s="1436"/>
      <c r="L169" s="1442"/>
      <c r="M169" s="1359"/>
      <c r="N169" s="1370">
        <f>SUM(N170:N174)</f>
        <v>0.21299999999999999</v>
      </c>
      <c r="O169" s="3113">
        <f>IF(Q169&gt;0,N169,"na")</f>
        <v>0.21299999999999999</v>
      </c>
      <c r="P169" s="1417">
        <f>SUM(P170:P174)</f>
        <v>9393333466</v>
      </c>
      <c r="Q169" s="1320">
        <f>SUM(Q170:Q174)</f>
        <v>9393333466</v>
      </c>
      <c r="R169" s="1320">
        <f>SUM(R170:R174)</f>
        <v>1611332176</v>
      </c>
      <c r="S169" s="1320">
        <f>SUM(S170:S174)</f>
        <v>959937000</v>
      </c>
      <c r="T169" s="1312">
        <f>IF(Q169=0,0,R169/Q169)</f>
        <v>0.17153997373055679</v>
      </c>
      <c r="U169" s="1312">
        <f t="shared" si="22"/>
        <v>0.59574122226179638</v>
      </c>
      <c r="V169" s="1490"/>
      <c r="W169" s="1490"/>
      <c r="X169" s="1303"/>
      <c r="Y169" s="3107" t="s">
        <v>2007</v>
      </c>
    </row>
    <row r="170" spans="1:25" ht="52.8">
      <c r="A170" s="3109"/>
      <c r="B170" s="3119"/>
      <c r="C170" s="3109"/>
      <c r="D170" s="3111"/>
      <c r="E170" s="1437" t="s">
        <v>2120</v>
      </c>
      <c r="F170" s="1425"/>
      <c r="G170" s="1423"/>
      <c r="H170" s="1423"/>
      <c r="I170" s="1415" t="s">
        <v>2121</v>
      </c>
      <c r="J170" s="1415" t="s">
        <v>121</v>
      </c>
      <c r="K170" s="1441">
        <v>8</v>
      </c>
      <c r="L170" s="1442">
        <v>0.28999999999999998</v>
      </c>
      <c r="M170" s="1359">
        <v>2</v>
      </c>
      <c r="N170" s="1370">
        <v>2.4E-2</v>
      </c>
      <c r="O170" s="3113"/>
      <c r="P170" s="1417">
        <v>2190775588</v>
      </c>
      <c r="Q170" s="1320">
        <v>2190775588</v>
      </c>
      <c r="R170" s="1320">
        <v>477202750</v>
      </c>
      <c r="S170" s="1320">
        <v>306823250</v>
      </c>
      <c r="T170" s="1312">
        <f t="shared" si="22"/>
        <v>0.21782365688840238</v>
      </c>
      <c r="U170" s="1312">
        <f t="shared" si="22"/>
        <v>0.64296203238560545</v>
      </c>
      <c r="V170" s="1443">
        <v>45313</v>
      </c>
      <c r="W170" s="1490" t="s">
        <v>1823</v>
      </c>
      <c r="X170" s="1303" t="s">
        <v>2122</v>
      </c>
      <c r="Y170" s="3107"/>
    </row>
    <row r="171" spans="1:25" ht="303.60000000000002">
      <c r="A171" s="3109"/>
      <c r="B171" s="3119"/>
      <c r="C171" s="3109"/>
      <c r="D171" s="3111"/>
      <c r="E171" s="1437" t="s">
        <v>2123</v>
      </c>
      <c r="F171" s="1425"/>
      <c r="G171" s="1423"/>
      <c r="H171" s="1436"/>
      <c r="I171" s="1415" t="s">
        <v>2124</v>
      </c>
      <c r="J171" s="1415" t="s">
        <v>2125</v>
      </c>
      <c r="K171" s="1441">
        <v>18</v>
      </c>
      <c r="L171" s="1442">
        <v>0.17</v>
      </c>
      <c r="M171" s="1359">
        <v>0</v>
      </c>
      <c r="N171" s="1370">
        <v>3.3000000000000002E-2</v>
      </c>
      <c r="O171" s="3113"/>
      <c r="P171" s="1417">
        <v>2866685238</v>
      </c>
      <c r="Q171" s="1320">
        <v>2866685238</v>
      </c>
      <c r="R171" s="1320">
        <v>578788250</v>
      </c>
      <c r="S171" s="1320">
        <v>350224250</v>
      </c>
      <c r="T171" s="1312">
        <f t="shared" si="22"/>
        <v>0.20190156991348068</v>
      </c>
      <c r="U171" s="1312">
        <f t="shared" si="22"/>
        <v>0.60509910144167578</v>
      </c>
      <c r="V171" s="1443">
        <v>45313</v>
      </c>
      <c r="W171" s="1490" t="s">
        <v>1823</v>
      </c>
      <c r="X171" s="1303" t="s">
        <v>2126</v>
      </c>
      <c r="Y171" s="3107"/>
    </row>
    <row r="172" spans="1:25" ht="79.2">
      <c r="A172" s="3109"/>
      <c r="B172" s="3119"/>
      <c r="C172" s="3109"/>
      <c r="D172" s="3111"/>
      <c r="E172" s="1437" t="s">
        <v>2127</v>
      </c>
      <c r="F172" s="1425"/>
      <c r="G172" s="1415" t="s">
        <v>2110</v>
      </c>
      <c r="H172" s="1416"/>
      <c r="I172" s="1415" t="s">
        <v>2128</v>
      </c>
      <c r="J172" s="1415" t="s">
        <v>2129</v>
      </c>
      <c r="K172" s="1417">
        <v>2000</v>
      </c>
      <c r="L172" s="1442">
        <v>0.26</v>
      </c>
      <c r="M172" s="1337">
        <v>913</v>
      </c>
      <c r="N172" s="1324">
        <v>0.12</v>
      </c>
      <c r="O172" s="3113"/>
      <c r="P172" s="1417">
        <v>1274874119</v>
      </c>
      <c r="Q172" s="1320">
        <v>1274874119</v>
      </c>
      <c r="R172" s="1320">
        <v>404856000</v>
      </c>
      <c r="S172" s="1320">
        <v>255312000</v>
      </c>
      <c r="T172" s="1312">
        <f t="shared" si="22"/>
        <v>0.31756547094827331</v>
      </c>
      <c r="U172" s="1312">
        <f t="shared" si="22"/>
        <v>0.63062422194558065</v>
      </c>
      <c r="V172" s="1443">
        <v>45313</v>
      </c>
      <c r="W172" s="1490" t="s">
        <v>1823</v>
      </c>
      <c r="X172" s="1303" t="s">
        <v>2130</v>
      </c>
      <c r="Y172" s="3107"/>
    </row>
    <row r="173" spans="1:25" ht="39.6">
      <c r="A173" s="3109"/>
      <c r="B173" s="3119"/>
      <c r="C173" s="3109"/>
      <c r="D173" s="3111"/>
      <c r="E173" s="1437" t="s">
        <v>2131</v>
      </c>
      <c r="F173" s="1425"/>
      <c r="G173" s="1423"/>
      <c r="H173" s="1436"/>
      <c r="I173" s="1415" t="s">
        <v>2132</v>
      </c>
      <c r="J173" s="1415" t="s">
        <v>2133</v>
      </c>
      <c r="K173" s="1441">
        <v>20</v>
      </c>
      <c r="L173" s="1442">
        <v>0.2</v>
      </c>
      <c r="M173" s="1337">
        <v>0</v>
      </c>
      <c r="N173" s="1315">
        <v>2.3E-2</v>
      </c>
      <c r="O173" s="3113"/>
      <c r="P173" s="1417">
        <v>2493884224</v>
      </c>
      <c r="Q173" s="1320">
        <v>2493884224</v>
      </c>
      <c r="R173" s="1320">
        <v>134387176</v>
      </c>
      <c r="S173" s="1320">
        <v>35504000</v>
      </c>
      <c r="T173" s="1312">
        <f t="shared" si="22"/>
        <v>5.3886693979904657E-2</v>
      </c>
      <c r="U173" s="1312">
        <f t="shared" si="22"/>
        <v>0.26419187497473717</v>
      </c>
      <c r="V173" s="1443">
        <v>45313</v>
      </c>
      <c r="W173" s="1490" t="s">
        <v>1823</v>
      </c>
      <c r="X173" s="1303" t="s">
        <v>2134</v>
      </c>
      <c r="Y173" s="3107"/>
    </row>
    <row r="174" spans="1:25" ht="52.8">
      <c r="A174" s="3109"/>
      <c r="B174" s="3119"/>
      <c r="C174" s="3109"/>
      <c r="D174" s="3111"/>
      <c r="E174" s="1437" t="s">
        <v>2135</v>
      </c>
      <c r="F174" s="1415"/>
      <c r="G174" s="1423"/>
      <c r="H174" s="1436"/>
      <c r="I174" s="1438" t="s">
        <v>2136</v>
      </c>
      <c r="J174" s="1438" t="s">
        <v>2137</v>
      </c>
      <c r="K174" s="1417">
        <v>1</v>
      </c>
      <c r="L174" s="1442">
        <v>0.08</v>
      </c>
      <c r="M174" s="1359">
        <v>0</v>
      </c>
      <c r="N174" s="1315">
        <v>1.2999999999999999E-2</v>
      </c>
      <c r="O174" s="3113"/>
      <c r="P174" s="1441">
        <v>567114297</v>
      </c>
      <c r="Q174" s="1320">
        <v>567114297</v>
      </c>
      <c r="R174" s="1320">
        <v>16098000</v>
      </c>
      <c r="S174" s="1320">
        <v>12073500</v>
      </c>
      <c r="T174" s="1312">
        <f t="shared" si="22"/>
        <v>2.8385812322414435E-2</v>
      </c>
      <c r="U174" s="1312">
        <f t="shared" si="22"/>
        <v>0.75</v>
      </c>
      <c r="V174" s="1443">
        <v>45313</v>
      </c>
      <c r="W174" s="1490" t="s">
        <v>1823</v>
      </c>
      <c r="X174" s="1303" t="s">
        <v>2138</v>
      </c>
      <c r="Y174" s="3107"/>
    </row>
    <row r="175" spans="1:25">
      <c r="A175" s="1425"/>
      <c r="B175" s="1433">
        <v>52030020006</v>
      </c>
      <c r="C175" s="1422" t="s">
        <v>117</v>
      </c>
      <c r="D175" s="1412" t="s">
        <v>2139</v>
      </c>
      <c r="E175" s="1512"/>
      <c r="F175" s="1413"/>
      <c r="G175" s="1438"/>
      <c r="H175" s="1448"/>
      <c r="I175" s="1438"/>
      <c r="J175" s="1440"/>
      <c r="K175" s="1514"/>
      <c r="L175" s="1442"/>
      <c r="M175" s="1337"/>
      <c r="N175" s="1315"/>
      <c r="O175" s="1310"/>
      <c r="P175" s="1436"/>
      <c r="Q175" s="1311"/>
      <c r="R175" s="1327"/>
      <c r="S175" s="1327"/>
      <c r="T175" s="1312"/>
      <c r="U175" s="1312"/>
      <c r="V175" s="1446"/>
      <c r="W175" s="1490"/>
      <c r="X175" s="1303"/>
      <c r="Y175" s="1425"/>
    </row>
    <row r="176" spans="1:25">
      <c r="A176" s="3109">
        <v>4145</v>
      </c>
      <c r="B176" s="3115"/>
      <c r="C176" s="3109" t="s">
        <v>123</v>
      </c>
      <c r="D176" s="3111" t="s">
        <v>2140</v>
      </c>
      <c r="E176" s="1437" t="s">
        <v>2141</v>
      </c>
      <c r="F176" s="1425"/>
      <c r="G176" s="1434"/>
      <c r="H176" s="1515"/>
      <c r="I176" s="1434"/>
      <c r="J176" s="1423"/>
      <c r="K176" s="1459">
        <f>K177</f>
        <v>1</v>
      </c>
      <c r="L176" s="1442">
        <f>L177</f>
        <v>1</v>
      </c>
      <c r="M176" s="1567"/>
      <c r="N176" s="1317">
        <f>+N177</f>
        <v>8.0000000000000002E-3</v>
      </c>
      <c r="O176" s="3113">
        <f>IF(Q176&gt;0,N176,"na")</f>
        <v>8.0000000000000002E-3</v>
      </c>
      <c r="P176" s="1417">
        <f>+P177</f>
        <v>200000000</v>
      </c>
      <c r="Q176" s="1344">
        <f>+Q177</f>
        <v>200000000</v>
      </c>
      <c r="R176" s="1344">
        <f>+R177</f>
        <v>35001000</v>
      </c>
      <c r="S176" s="1344">
        <f>+S177</f>
        <v>11667000</v>
      </c>
      <c r="T176" s="1312">
        <f t="shared" si="22"/>
        <v>0.17500499999999999</v>
      </c>
      <c r="U176" s="1312">
        <f t="shared" si="22"/>
        <v>0.33333333333333331</v>
      </c>
      <c r="V176" s="1477"/>
      <c r="W176" s="1490"/>
      <c r="X176" s="1303"/>
      <c r="Y176" s="3107" t="s">
        <v>1752</v>
      </c>
    </row>
    <row r="177" spans="1:25" ht="184.8">
      <c r="A177" s="3109"/>
      <c r="B177" s="3115"/>
      <c r="C177" s="3109"/>
      <c r="D177" s="3111"/>
      <c r="E177" s="1437" t="s">
        <v>2142</v>
      </c>
      <c r="F177" s="1438"/>
      <c r="G177" s="1415" t="s">
        <v>2139</v>
      </c>
      <c r="H177" s="1515"/>
      <c r="I177" s="1438" t="s">
        <v>2143</v>
      </c>
      <c r="J177" s="1438" t="s">
        <v>1937</v>
      </c>
      <c r="K177" s="1459">
        <v>1</v>
      </c>
      <c r="L177" s="1462">
        <v>1</v>
      </c>
      <c r="M177" s="1569">
        <v>0</v>
      </c>
      <c r="N177" s="1319">
        <v>8.0000000000000002E-3</v>
      </c>
      <c r="O177" s="3113"/>
      <c r="P177" s="1441">
        <v>200000000</v>
      </c>
      <c r="Q177" s="1344">
        <v>200000000</v>
      </c>
      <c r="R177" s="1344">
        <v>35001000</v>
      </c>
      <c r="S177" s="1344">
        <v>11667000</v>
      </c>
      <c r="T177" s="1312">
        <f t="shared" si="22"/>
        <v>0.17500499999999999</v>
      </c>
      <c r="U177" s="1312">
        <f t="shared" si="22"/>
        <v>0.33333333333333331</v>
      </c>
      <c r="V177" s="1490">
        <v>45352</v>
      </c>
      <c r="W177" s="1490" t="s">
        <v>1823</v>
      </c>
      <c r="X177" s="1303" t="s">
        <v>2144</v>
      </c>
      <c r="Y177" s="3107"/>
    </row>
    <row r="178" spans="1:25">
      <c r="A178" s="1444"/>
      <c r="B178" s="1426">
        <v>5203003</v>
      </c>
      <c r="C178" s="1444" t="s">
        <v>116</v>
      </c>
      <c r="D178" s="1410" t="s">
        <v>2145</v>
      </c>
      <c r="E178" s="1516"/>
      <c r="F178" s="1517"/>
      <c r="G178" s="1517"/>
      <c r="H178" s="1517"/>
      <c r="I178" s="1517"/>
      <c r="J178" s="1518"/>
      <c r="K178" s="1519"/>
      <c r="L178" s="1520"/>
      <c r="M178" s="1371"/>
      <c r="N178" s="1331"/>
      <c r="O178" s="1317"/>
      <c r="P178" s="1521"/>
      <c r="Q178" s="1372"/>
      <c r="R178" s="1372"/>
      <c r="S178" s="1372"/>
      <c r="T178" s="1306"/>
      <c r="U178" s="1306"/>
      <c r="V178" s="1522"/>
      <c r="W178" s="1522"/>
      <c r="X178" s="1363"/>
      <c r="Y178" s="1444"/>
    </row>
    <row r="179" spans="1:25" ht="27.6">
      <c r="A179" s="1422"/>
      <c r="B179" s="1433">
        <v>52030030001</v>
      </c>
      <c r="C179" s="1422" t="s">
        <v>117</v>
      </c>
      <c r="D179" s="1412" t="s">
        <v>2146</v>
      </c>
      <c r="E179" s="1512"/>
      <c r="F179" s="1496"/>
      <c r="G179" s="1448"/>
      <c r="H179" s="1496"/>
      <c r="I179" s="1448"/>
      <c r="J179" s="1523"/>
      <c r="K179" s="1524"/>
      <c r="L179" s="1525"/>
      <c r="M179" s="1373"/>
      <c r="N179" s="1293"/>
      <c r="O179" s="1319"/>
      <c r="P179" s="1526"/>
      <c r="Q179" s="1368"/>
      <c r="R179" s="1369"/>
      <c r="S179" s="1369"/>
      <c r="T179" s="1308"/>
      <c r="U179" s="1308"/>
      <c r="V179" s="1527"/>
      <c r="W179" s="1527"/>
      <c r="X179" s="1364"/>
      <c r="Y179" s="1422"/>
    </row>
    <row r="180" spans="1:25">
      <c r="A180" s="3109">
        <v>4145</v>
      </c>
      <c r="B180" s="3115"/>
      <c r="C180" s="3109" t="s">
        <v>123</v>
      </c>
      <c r="D180" s="3111" t="s">
        <v>2147</v>
      </c>
      <c r="E180" s="1437" t="s">
        <v>2148</v>
      </c>
      <c r="F180" s="1425"/>
      <c r="G180" s="1414"/>
      <c r="H180" s="1439"/>
      <c r="I180" s="1414"/>
      <c r="J180" s="1414"/>
      <c r="K180" s="1441">
        <f>+K181</f>
        <v>7</v>
      </c>
      <c r="L180" s="1442">
        <f>SUM(L181:L186)</f>
        <v>1</v>
      </c>
      <c r="M180" s="1374"/>
      <c r="N180" s="1315">
        <f>SUM(N181:N186)</f>
        <v>0.11</v>
      </c>
      <c r="O180" s="3116">
        <f>IF(Q180&gt;0,N180,"na")</f>
        <v>0.11</v>
      </c>
      <c r="P180" s="1417">
        <f>SUM(P181:P186)</f>
        <v>617904272</v>
      </c>
      <c r="Q180" s="1311">
        <f>SUM(Q181:Q186)</f>
        <v>617904272</v>
      </c>
      <c r="R180" s="1327">
        <f>SUM(R181:R186)</f>
        <v>66786000</v>
      </c>
      <c r="S180" s="1327">
        <f>SUM(S181:S186)</f>
        <v>32266000</v>
      </c>
      <c r="T180" s="1312">
        <f t="shared" ref="T180:U186" si="23">IF(Q180=0,0,R180/Q180)</f>
        <v>0.10808470345063417</v>
      </c>
      <c r="U180" s="1312">
        <f t="shared" si="23"/>
        <v>0.48312520588147218</v>
      </c>
      <c r="V180" s="1490"/>
      <c r="W180" s="1490"/>
      <c r="X180" s="1303"/>
      <c r="Y180" s="3107" t="s">
        <v>1752</v>
      </c>
    </row>
    <row r="181" spans="1:25" ht="105.6">
      <c r="A181" s="3109"/>
      <c r="B181" s="3115"/>
      <c r="C181" s="3109"/>
      <c r="D181" s="3111"/>
      <c r="E181" s="1437" t="s">
        <v>2149</v>
      </c>
      <c r="F181" s="1438"/>
      <c r="G181" s="1415" t="s">
        <v>2150</v>
      </c>
      <c r="H181" s="1439"/>
      <c r="I181" s="1414" t="s">
        <v>2151</v>
      </c>
      <c r="J181" s="1415" t="s">
        <v>2152</v>
      </c>
      <c r="K181" s="1417">
        <v>7</v>
      </c>
      <c r="L181" s="1462">
        <v>0.45</v>
      </c>
      <c r="M181" s="1374">
        <v>0</v>
      </c>
      <c r="N181" s="1315">
        <v>0.06</v>
      </c>
      <c r="O181" s="3116"/>
      <c r="P181" s="1441">
        <v>275935800</v>
      </c>
      <c r="Q181" s="1311">
        <v>275935800</v>
      </c>
      <c r="R181" s="1311">
        <v>28690000</v>
      </c>
      <c r="S181" s="1311">
        <v>11730000</v>
      </c>
      <c r="T181" s="1312">
        <f t="shared" si="23"/>
        <v>0.10397346049334664</v>
      </c>
      <c r="U181" s="1312">
        <f t="shared" si="23"/>
        <v>0.40885325897525271</v>
      </c>
      <c r="V181" s="1443">
        <v>45337</v>
      </c>
      <c r="W181" s="1443">
        <v>45657</v>
      </c>
      <c r="X181" s="1303" t="s">
        <v>2153</v>
      </c>
      <c r="Y181" s="3107"/>
    </row>
    <row r="182" spans="1:25" ht="79.2">
      <c r="A182" s="3109"/>
      <c r="B182" s="3115"/>
      <c r="C182" s="3109"/>
      <c r="D182" s="3111"/>
      <c r="E182" s="1437" t="s">
        <v>2154</v>
      </c>
      <c r="F182" s="1438"/>
      <c r="G182" s="1414"/>
      <c r="H182" s="1424"/>
      <c r="I182" s="1414" t="s">
        <v>2155</v>
      </c>
      <c r="J182" s="1415" t="s">
        <v>2156</v>
      </c>
      <c r="K182" s="1417">
        <v>3500</v>
      </c>
      <c r="L182" s="1462">
        <v>0.2</v>
      </c>
      <c r="M182" s="1374">
        <v>0</v>
      </c>
      <c r="N182" s="1315">
        <v>0.02</v>
      </c>
      <c r="O182" s="3116"/>
      <c r="P182" s="1441">
        <v>126672000</v>
      </c>
      <c r="Q182" s="1311">
        <v>126672000</v>
      </c>
      <c r="R182" s="1311">
        <v>8049000</v>
      </c>
      <c r="S182" s="1311">
        <v>5366000</v>
      </c>
      <c r="T182" s="1312">
        <f t="shared" si="23"/>
        <v>6.3542061386888976E-2</v>
      </c>
      <c r="U182" s="1312">
        <f t="shared" si="23"/>
        <v>0.66666666666666663</v>
      </c>
      <c r="V182" s="1443">
        <v>45337</v>
      </c>
      <c r="W182" s="1443">
        <v>45657</v>
      </c>
      <c r="X182" s="1303" t="s">
        <v>2157</v>
      </c>
      <c r="Y182" s="3107"/>
    </row>
    <row r="183" spans="1:25" ht="52.8">
      <c r="A183" s="3109"/>
      <c r="B183" s="3115"/>
      <c r="C183" s="3109"/>
      <c r="D183" s="3111"/>
      <c r="E183" s="1437" t="s">
        <v>2158</v>
      </c>
      <c r="F183" s="1438"/>
      <c r="G183" s="1414"/>
      <c r="H183" s="1424"/>
      <c r="I183" s="1414" t="s">
        <v>2159</v>
      </c>
      <c r="J183" s="1415" t="s">
        <v>120</v>
      </c>
      <c r="K183" s="1417">
        <v>5950</v>
      </c>
      <c r="L183" s="1462">
        <v>0.08</v>
      </c>
      <c r="M183" s="1343">
        <v>0</v>
      </c>
      <c r="N183" s="1315">
        <v>0</v>
      </c>
      <c r="O183" s="3116"/>
      <c r="P183" s="1441">
        <v>49944500</v>
      </c>
      <c r="Q183" s="1311">
        <v>49944500</v>
      </c>
      <c r="R183" s="1311">
        <v>0</v>
      </c>
      <c r="S183" s="1311">
        <v>0</v>
      </c>
      <c r="T183" s="1312">
        <f t="shared" si="23"/>
        <v>0</v>
      </c>
      <c r="U183" s="1312">
        <f t="shared" si="23"/>
        <v>0</v>
      </c>
      <c r="V183" s="1443">
        <v>45337</v>
      </c>
      <c r="W183" s="1443">
        <v>45657</v>
      </c>
      <c r="X183" s="1303"/>
      <c r="Y183" s="3107"/>
    </row>
    <row r="184" spans="1:25" ht="105.6">
      <c r="A184" s="3109"/>
      <c r="B184" s="3115"/>
      <c r="C184" s="3109"/>
      <c r="D184" s="3111"/>
      <c r="E184" s="1437" t="s">
        <v>2160</v>
      </c>
      <c r="F184" s="1438"/>
      <c r="G184" s="1414"/>
      <c r="H184" s="1424"/>
      <c r="I184" s="1414" t="s">
        <v>2161</v>
      </c>
      <c r="J184" s="1415" t="s">
        <v>1937</v>
      </c>
      <c r="K184" s="1417">
        <v>35</v>
      </c>
      <c r="L184" s="1462">
        <v>0.1</v>
      </c>
      <c r="M184" s="1343">
        <v>0</v>
      </c>
      <c r="N184" s="1315">
        <v>1.4999999999999999E-2</v>
      </c>
      <c r="O184" s="3116"/>
      <c r="P184" s="1441">
        <v>63756000</v>
      </c>
      <c r="Q184" s="1311">
        <v>63756000</v>
      </c>
      <c r="R184" s="1311">
        <v>16098000</v>
      </c>
      <c r="S184" s="1311">
        <v>10732000</v>
      </c>
      <c r="T184" s="1312">
        <f t="shared" si="23"/>
        <v>0.25249388292866554</v>
      </c>
      <c r="U184" s="1312">
        <f t="shared" si="23"/>
        <v>0.66666666666666663</v>
      </c>
      <c r="V184" s="1443">
        <v>45337</v>
      </c>
      <c r="W184" s="1443">
        <v>45657</v>
      </c>
      <c r="X184" s="1303" t="s">
        <v>2162</v>
      </c>
      <c r="Y184" s="3107"/>
    </row>
    <row r="185" spans="1:25" ht="52.8">
      <c r="A185" s="3109"/>
      <c r="B185" s="3115"/>
      <c r="C185" s="3109"/>
      <c r="D185" s="3111"/>
      <c r="E185" s="1437" t="s">
        <v>2163</v>
      </c>
      <c r="F185" s="1438"/>
      <c r="G185" s="1414"/>
      <c r="H185" s="1424"/>
      <c r="I185" s="1414" t="s">
        <v>2164</v>
      </c>
      <c r="J185" s="1415" t="s">
        <v>1846</v>
      </c>
      <c r="K185" s="1417">
        <v>6</v>
      </c>
      <c r="L185" s="1462">
        <v>0.1</v>
      </c>
      <c r="M185" s="1326">
        <v>0</v>
      </c>
      <c r="N185" s="1315">
        <v>1.4999999999999999E-2</v>
      </c>
      <c r="O185" s="3116"/>
      <c r="P185" s="1441">
        <v>60782400</v>
      </c>
      <c r="Q185" s="1311">
        <v>60782400</v>
      </c>
      <c r="R185" s="1311">
        <v>13949000</v>
      </c>
      <c r="S185" s="1311">
        <v>4438000</v>
      </c>
      <c r="T185" s="1312">
        <f t="shared" si="23"/>
        <v>0.2294907736450025</v>
      </c>
      <c r="U185" s="1312">
        <f t="shared" si="23"/>
        <v>0.31815900781418022</v>
      </c>
      <c r="V185" s="1443">
        <v>45337</v>
      </c>
      <c r="W185" s="1443">
        <v>45657</v>
      </c>
      <c r="X185" s="1303" t="s">
        <v>2165</v>
      </c>
      <c r="Y185" s="3107"/>
    </row>
    <row r="186" spans="1:25" ht="92.4">
      <c r="A186" s="3109"/>
      <c r="B186" s="3115"/>
      <c r="C186" s="3109"/>
      <c r="D186" s="3111"/>
      <c r="E186" s="1437" t="s">
        <v>2166</v>
      </c>
      <c r="F186" s="1438"/>
      <c r="G186" s="1414"/>
      <c r="H186" s="1424"/>
      <c r="I186" s="1414" t="s">
        <v>2167</v>
      </c>
      <c r="J186" s="1415" t="s">
        <v>220</v>
      </c>
      <c r="K186" s="1417">
        <v>1</v>
      </c>
      <c r="L186" s="1462">
        <v>7.0000000000000007E-2</v>
      </c>
      <c r="M186" s="1343">
        <v>0</v>
      </c>
      <c r="N186" s="1315">
        <v>0</v>
      </c>
      <c r="O186" s="3116"/>
      <c r="P186" s="1441">
        <v>40813572</v>
      </c>
      <c r="Q186" s="1311">
        <v>40813572</v>
      </c>
      <c r="R186" s="1311">
        <v>0</v>
      </c>
      <c r="S186" s="1311">
        <v>0</v>
      </c>
      <c r="T186" s="1312">
        <f t="shared" si="23"/>
        <v>0</v>
      </c>
      <c r="U186" s="1312">
        <f t="shared" si="23"/>
        <v>0</v>
      </c>
      <c r="V186" s="1443">
        <v>45337</v>
      </c>
      <c r="W186" s="1443">
        <v>45657</v>
      </c>
      <c r="X186" s="1303"/>
      <c r="Y186" s="3107"/>
    </row>
    <row r="187" spans="1:25">
      <c r="A187" s="3109">
        <v>4145</v>
      </c>
      <c r="B187" s="3115"/>
      <c r="C187" s="3109" t="s">
        <v>123</v>
      </c>
      <c r="D187" s="3111" t="s">
        <v>2168</v>
      </c>
      <c r="E187" s="1437" t="s">
        <v>2169</v>
      </c>
      <c r="F187" s="1425"/>
      <c r="G187" s="1414"/>
      <c r="H187" s="1439"/>
      <c r="I187" s="1414"/>
      <c r="J187" s="1414"/>
      <c r="K187" s="1441">
        <f>+K188</f>
        <v>3</v>
      </c>
      <c r="L187" s="1442">
        <f>+L188</f>
        <v>1</v>
      </c>
      <c r="M187" s="1343"/>
      <c r="N187" s="1310">
        <f>+N188</f>
        <v>0</v>
      </c>
      <c r="O187" s="3113">
        <f>IF(Q187&gt;0,N187,"na")</f>
        <v>0</v>
      </c>
      <c r="P187" s="1417">
        <f>+P188</f>
        <v>115762501</v>
      </c>
      <c r="Q187" s="1320">
        <f>+Q188</f>
        <v>115762501</v>
      </c>
      <c r="R187" s="1320">
        <f>+R188</f>
        <v>0</v>
      </c>
      <c r="S187" s="1320">
        <f>+S188</f>
        <v>0</v>
      </c>
      <c r="T187" s="1312">
        <f>IF(Q187=0,0,R187/Q187)</f>
        <v>0</v>
      </c>
      <c r="U187" s="1312">
        <f>IF(R187=0,0,S187/R187)</f>
        <v>0</v>
      </c>
      <c r="V187" s="1477"/>
      <c r="W187" s="1477"/>
      <c r="X187" s="1303"/>
      <c r="Y187" s="3107" t="s">
        <v>1752</v>
      </c>
    </row>
    <row r="188" spans="1:25" ht="105.6">
      <c r="A188" s="3109"/>
      <c r="B188" s="3115"/>
      <c r="C188" s="3109"/>
      <c r="D188" s="3111"/>
      <c r="E188" s="1437" t="s">
        <v>2170</v>
      </c>
      <c r="F188" s="1438"/>
      <c r="G188" s="1415" t="s">
        <v>2171</v>
      </c>
      <c r="H188" s="1439"/>
      <c r="I188" s="1414" t="s">
        <v>2172</v>
      </c>
      <c r="J188" s="1415" t="s">
        <v>2152</v>
      </c>
      <c r="K188" s="1417">
        <v>3</v>
      </c>
      <c r="L188" s="1462">
        <v>1</v>
      </c>
      <c r="M188" s="1326">
        <v>0</v>
      </c>
      <c r="N188" s="1315">
        <v>0</v>
      </c>
      <c r="O188" s="3113"/>
      <c r="P188" s="1441">
        <v>115762501</v>
      </c>
      <c r="Q188" s="1311">
        <v>115762501</v>
      </c>
      <c r="R188" s="1327">
        <v>0</v>
      </c>
      <c r="S188" s="1327">
        <v>0</v>
      </c>
      <c r="T188" s="1312">
        <f>IF(Q188=0,0,R188/Q188)</f>
        <v>0</v>
      </c>
      <c r="U188" s="1312">
        <f>IF(R188=0,0,S188/R188)</f>
        <v>0</v>
      </c>
      <c r="V188" s="1490">
        <v>45383</v>
      </c>
      <c r="W188" s="1490">
        <v>45657</v>
      </c>
      <c r="X188" s="1303"/>
      <c r="Y188" s="3107"/>
    </row>
    <row r="189" spans="1:25">
      <c r="A189" s="1422"/>
      <c r="B189" s="1433">
        <v>52030030002</v>
      </c>
      <c r="C189" s="1422" t="s">
        <v>117</v>
      </c>
      <c r="D189" s="1412" t="s">
        <v>2173</v>
      </c>
      <c r="E189" s="1512"/>
      <c r="F189" s="1413"/>
      <c r="G189" s="1412"/>
      <c r="H189" s="1412"/>
      <c r="I189" s="1412"/>
      <c r="J189" s="1412"/>
      <c r="K189" s="1523"/>
      <c r="L189" s="1525"/>
      <c r="M189" s="1365"/>
      <c r="N189" s="1293"/>
      <c r="O189" s="1510"/>
      <c r="P189" s="1526"/>
      <c r="Q189" s="1375"/>
      <c r="R189" s="1375"/>
      <c r="S189" s="1375"/>
      <c r="T189" s="1308"/>
      <c r="U189" s="1308"/>
      <c r="V189" s="1528"/>
      <c r="W189" s="1529"/>
      <c r="X189" s="1364"/>
      <c r="Y189" s="1422"/>
    </row>
    <row r="190" spans="1:25">
      <c r="A190" s="3109">
        <v>4145</v>
      </c>
      <c r="B190" s="3115"/>
      <c r="C190" s="3109" t="s">
        <v>123</v>
      </c>
      <c r="D190" s="3111" t="s">
        <v>2174</v>
      </c>
      <c r="E190" s="1437" t="s">
        <v>2175</v>
      </c>
      <c r="F190" s="1425"/>
      <c r="G190" s="1434"/>
      <c r="H190" s="1515"/>
      <c r="I190" s="1434"/>
      <c r="J190" s="1423"/>
      <c r="K190" s="1441">
        <f>SUM(K191+K192)</f>
        <v>26</v>
      </c>
      <c r="L190" s="1442">
        <f>SUM(L191:L193)</f>
        <v>0.99999999999999989</v>
      </c>
      <c r="M190" s="1326"/>
      <c r="N190" s="1315">
        <f>SUM(N191:N193)</f>
        <v>0.252</v>
      </c>
      <c r="O190" s="3113">
        <f>IF(Q190&gt;0,N190,"na")</f>
        <v>0.252</v>
      </c>
      <c r="P190" s="1417">
        <f>SUM(P191:P193)</f>
        <v>3285000000</v>
      </c>
      <c r="Q190" s="1311">
        <f>SUM(Q191:Q193)</f>
        <v>3285000000</v>
      </c>
      <c r="R190" s="1327">
        <f>SUM(R191:R193)</f>
        <v>536815000</v>
      </c>
      <c r="S190" s="1327">
        <f>SUM(S191:S193)</f>
        <v>373233000</v>
      </c>
      <c r="T190" s="1312">
        <f>IF(Q190=0,0,R190/Q190)</f>
        <v>0.16341400304414003</v>
      </c>
      <c r="U190" s="1312">
        <f t="shared" ref="U190:U193" si="24">IF(R190=0,0,S190/R190)</f>
        <v>0.69527304564887349</v>
      </c>
      <c r="V190" s="1490"/>
      <c r="W190" s="1490"/>
      <c r="X190" s="1530"/>
      <c r="Y190" s="3107" t="s">
        <v>1752</v>
      </c>
    </row>
    <row r="191" spans="1:25" ht="118.8">
      <c r="A191" s="3109"/>
      <c r="B191" s="3115"/>
      <c r="C191" s="3109"/>
      <c r="D191" s="3111"/>
      <c r="E191" s="1437" t="s">
        <v>2176</v>
      </c>
      <c r="F191" s="1438"/>
      <c r="G191" s="1438" t="s">
        <v>2156</v>
      </c>
      <c r="H191" s="1515"/>
      <c r="I191" s="1438" t="s">
        <v>2177</v>
      </c>
      <c r="J191" s="1438" t="s">
        <v>1937</v>
      </c>
      <c r="K191" s="1441">
        <v>14</v>
      </c>
      <c r="L191" s="1442">
        <v>0.08</v>
      </c>
      <c r="M191" s="1343">
        <v>7</v>
      </c>
      <c r="N191" s="1310">
        <v>0.02</v>
      </c>
      <c r="O191" s="3113"/>
      <c r="P191" s="1464">
        <v>256838400</v>
      </c>
      <c r="Q191" s="1376">
        <v>256838400</v>
      </c>
      <c r="R191" s="1376">
        <v>33568000</v>
      </c>
      <c r="S191" s="1376">
        <v>25176000</v>
      </c>
      <c r="T191" s="1312">
        <f>IF(Q191=0,0,R191/Q191)</f>
        <v>0.13069696743166132</v>
      </c>
      <c r="U191" s="1312">
        <f t="shared" si="24"/>
        <v>0.75</v>
      </c>
      <c r="V191" s="1443">
        <v>45306</v>
      </c>
      <c r="W191" s="1490">
        <v>45657</v>
      </c>
      <c r="X191" s="1303" t="s">
        <v>2178</v>
      </c>
      <c r="Y191" s="3107"/>
    </row>
    <row r="192" spans="1:25" ht="132">
      <c r="A192" s="3109"/>
      <c r="B192" s="3115"/>
      <c r="C192" s="3109"/>
      <c r="D192" s="3111"/>
      <c r="E192" s="1437" t="s">
        <v>2179</v>
      </c>
      <c r="F192" s="1438"/>
      <c r="G192" s="1438"/>
      <c r="H192" s="1515"/>
      <c r="I192" s="1438" t="s">
        <v>2180</v>
      </c>
      <c r="J192" s="1438" t="s">
        <v>2156</v>
      </c>
      <c r="K192" s="1441">
        <v>12</v>
      </c>
      <c r="L192" s="1442">
        <v>0.83</v>
      </c>
      <c r="M192" s="1326">
        <v>3</v>
      </c>
      <c r="N192" s="1324">
        <v>0.21</v>
      </c>
      <c r="O192" s="3113"/>
      <c r="P192" s="1464">
        <v>2719347800</v>
      </c>
      <c r="Q192" s="1376">
        <v>2719347800</v>
      </c>
      <c r="R192" s="1376">
        <v>424601000</v>
      </c>
      <c r="S192" s="1376">
        <v>292079500</v>
      </c>
      <c r="T192" s="1312">
        <f>IF(Q192=0,0,R192/Q192)</f>
        <v>0.15614074816027579</v>
      </c>
      <c r="U192" s="1312">
        <f t="shared" si="24"/>
        <v>0.68789169125838134</v>
      </c>
      <c r="V192" s="1443">
        <v>45306</v>
      </c>
      <c r="W192" s="1490">
        <v>45657</v>
      </c>
      <c r="X192" s="1303" t="s">
        <v>2181</v>
      </c>
      <c r="Y192" s="3107"/>
    </row>
    <row r="193" spans="1:25" ht="79.2">
      <c r="A193" s="3109"/>
      <c r="B193" s="3115"/>
      <c r="C193" s="3109"/>
      <c r="D193" s="3111"/>
      <c r="E193" s="1437" t="s">
        <v>2182</v>
      </c>
      <c r="F193" s="1438"/>
      <c r="G193" s="1440"/>
      <c r="H193" s="1440"/>
      <c r="I193" s="1438" t="s">
        <v>2183</v>
      </c>
      <c r="J193" s="1438" t="s">
        <v>220</v>
      </c>
      <c r="K193" s="1441">
        <v>1</v>
      </c>
      <c r="L193" s="1442">
        <v>0.09</v>
      </c>
      <c r="M193" s="1326">
        <v>0</v>
      </c>
      <c r="N193" s="1315">
        <v>2.1999999999999999E-2</v>
      </c>
      <c r="O193" s="3113"/>
      <c r="P193" s="1464">
        <v>308813800</v>
      </c>
      <c r="Q193" s="1376">
        <v>308813800</v>
      </c>
      <c r="R193" s="1376">
        <v>78646000</v>
      </c>
      <c r="S193" s="1376">
        <v>55977500</v>
      </c>
      <c r="T193" s="1312">
        <f>IF(Q193=0,0,R193/Q193)</f>
        <v>0.25467126145269414</v>
      </c>
      <c r="U193" s="1312">
        <f t="shared" si="24"/>
        <v>0.71176537904025639</v>
      </c>
      <c r="V193" s="1443">
        <v>45306</v>
      </c>
      <c r="W193" s="1490">
        <v>45657</v>
      </c>
      <c r="X193" s="1303" t="s">
        <v>2184</v>
      </c>
      <c r="Y193" s="3107"/>
    </row>
    <row r="194" spans="1:25">
      <c r="A194" s="1422"/>
      <c r="B194" s="1433">
        <v>52030030003</v>
      </c>
      <c r="C194" s="1422" t="s">
        <v>117</v>
      </c>
      <c r="D194" s="1412" t="s">
        <v>2185</v>
      </c>
      <c r="E194" s="1512"/>
      <c r="F194" s="1413"/>
      <c r="G194" s="1448"/>
      <c r="H194" s="1448"/>
      <c r="I194" s="1448"/>
      <c r="J194" s="1523"/>
      <c r="K194" s="1430"/>
      <c r="L194" s="1531"/>
      <c r="M194" s="1365"/>
      <c r="N194" s="1293"/>
      <c r="O194" s="1319"/>
      <c r="P194" s="1526"/>
      <c r="Q194" s="1368"/>
      <c r="R194" s="1369"/>
      <c r="S194" s="1369"/>
      <c r="T194" s="1308"/>
      <c r="U194" s="1308"/>
      <c r="V194" s="1527"/>
      <c r="W194" s="1529"/>
      <c r="X194" s="1364"/>
      <c r="Y194" s="1422"/>
    </row>
    <row r="195" spans="1:25">
      <c r="A195" s="3109">
        <v>4145</v>
      </c>
      <c r="B195" s="3109"/>
      <c r="C195" s="3109" t="s">
        <v>123</v>
      </c>
      <c r="D195" s="3111" t="s">
        <v>2186</v>
      </c>
      <c r="E195" s="1437" t="s">
        <v>2187</v>
      </c>
      <c r="F195" s="1453"/>
      <c r="G195" s="1434"/>
      <c r="H195" s="1453"/>
      <c r="I195" s="1434"/>
      <c r="J195" s="1423"/>
      <c r="K195" s="1441">
        <f>SUM(K196:K198)</f>
        <v>14</v>
      </c>
      <c r="L195" s="1442">
        <f>SUM(L196:L199)</f>
        <v>0.99999999999999989</v>
      </c>
      <c r="M195" s="1326"/>
      <c r="N195" s="1315">
        <f>SUM(N196:N199)</f>
        <v>0.18</v>
      </c>
      <c r="O195" s="3113">
        <f>IF(Q195&gt;0,N195,"na")</f>
        <v>0.18</v>
      </c>
      <c r="P195" s="1417">
        <f>SUM(P196:P199)</f>
        <v>1800000000</v>
      </c>
      <c r="Q195" s="1311">
        <f t="shared" ref="Q195:S195" si="25">SUM(Q196:Q199)</f>
        <v>1800000000</v>
      </c>
      <c r="R195" s="1327">
        <f t="shared" si="25"/>
        <v>124111000</v>
      </c>
      <c r="S195" s="1327">
        <f t="shared" si="25"/>
        <v>69486000</v>
      </c>
      <c r="T195" s="1312">
        <f t="shared" ref="T195:U199" si="26">IF(Q195=0,0,R195/Q195)</f>
        <v>6.8950555555555557E-2</v>
      </c>
      <c r="U195" s="1312">
        <f t="shared" si="26"/>
        <v>0.55986979397474845</v>
      </c>
      <c r="V195" s="1490"/>
      <c r="W195" s="1490"/>
      <c r="X195" s="1303"/>
      <c r="Y195" s="3107" t="s">
        <v>1752</v>
      </c>
    </row>
    <row r="196" spans="1:25" ht="92.4">
      <c r="A196" s="3109"/>
      <c r="B196" s="3109"/>
      <c r="C196" s="3109"/>
      <c r="D196" s="3111"/>
      <c r="E196" s="1437" t="s">
        <v>2188</v>
      </c>
      <c r="F196" s="1532"/>
      <c r="G196" s="3117" t="s">
        <v>2185</v>
      </c>
      <c r="H196" s="3118"/>
      <c r="I196" s="1414" t="s">
        <v>2189</v>
      </c>
      <c r="J196" s="1415" t="s">
        <v>2190</v>
      </c>
      <c r="K196" s="1441">
        <v>1</v>
      </c>
      <c r="L196" s="1462">
        <v>0.09</v>
      </c>
      <c r="M196" s="1343">
        <v>0</v>
      </c>
      <c r="N196" s="1310">
        <v>0</v>
      </c>
      <c r="O196" s="3113"/>
      <c r="P196" s="1441">
        <v>156340800</v>
      </c>
      <c r="Q196" s="1344">
        <v>156340800</v>
      </c>
      <c r="R196" s="1344">
        <v>0</v>
      </c>
      <c r="S196" s="1344">
        <v>0</v>
      </c>
      <c r="T196" s="1377">
        <f t="shared" si="26"/>
        <v>0</v>
      </c>
      <c r="U196" s="1312">
        <f t="shared" si="26"/>
        <v>0</v>
      </c>
      <c r="V196" s="1443"/>
      <c r="W196" s="1490"/>
      <c r="X196" s="1303"/>
      <c r="Y196" s="3107"/>
    </row>
    <row r="197" spans="1:25" ht="66">
      <c r="A197" s="3109"/>
      <c r="B197" s="3109"/>
      <c r="C197" s="3109"/>
      <c r="D197" s="3111"/>
      <c r="E197" s="1437" t="s">
        <v>2191</v>
      </c>
      <c r="F197" s="1532"/>
      <c r="G197" s="3107"/>
      <c r="H197" s="3118"/>
      <c r="I197" s="1414" t="s">
        <v>2192</v>
      </c>
      <c r="J197" s="1415" t="s">
        <v>2193</v>
      </c>
      <c r="K197" s="1441">
        <v>12</v>
      </c>
      <c r="L197" s="1462">
        <v>0.52</v>
      </c>
      <c r="M197" s="1326">
        <v>3</v>
      </c>
      <c r="N197" s="1324">
        <v>0.13</v>
      </c>
      <c r="O197" s="3113"/>
      <c r="P197" s="1441">
        <v>927114300</v>
      </c>
      <c r="Q197" s="1344">
        <v>927114300</v>
      </c>
      <c r="R197" s="1344">
        <v>47225000</v>
      </c>
      <c r="S197" s="1344">
        <v>17369000</v>
      </c>
      <c r="T197" s="1377">
        <f t="shared" si="26"/>
        <v>5.0937624411574713E-2</v>
      </c>
      <c r="U197" s="1312">
        <f t="shared" si="26"/>
        <v>0.36779248279512972</v>
      </c>
      <c r="V197" s="1443">
        <v>45315</v>
      </c>
      <c r="W197" s="1490">
        <v>45657</v>
      </c>
      <c r="X197" s="1303" t="s">
        <v>2194</v>
      </c>
      <c r="Y197" s="3107"/>
    </row>
    <row r="198" spans="1:25" ht="132">
      <c r="A198" s="3109"/>
      <c r="B198" s="3109"/>
      <c r="C198" s="3109"/>
      <c r="D198" s="3111"/>
      <c r="E198" s="1437" t="s">
        <v>2195</v>
      </c>
      <c r="F198" s="1532"/>
      <c r="G198" s="3107"/>
      <c r="H198" s="3118"/>
      <c r="I198" s="1414" t="s">
        <v>2196</v>
      </c>
      <c r="J198" s="1415" t="s">
        <v>2197</v>
      </c>
      <c r="K198" s="1441">
        <v>1</v>
      </c>
      <c r="L198" s="1462">
        <v>0.3</v>
      </c>
      <c r="M198" s="1326">
        <v>0</v>
      </c>
      <c r="N198" s="1315">
        <v>0.05</v>
      </c>
      <c r="O198" s="3113"/>
      <c r="P198" s="1441">
        <v>554977500</v>
      </c>
      <c r="Q198" s="1344">
        <v>554977500</v>
      </c>
      <c r="R198" s="1344">
        <v>76886000</v>
      </c>
      <c r="S198" s="1344">
        <v>52117000</v>
      </c>
      <c r="T198" s="1377">
        <f t="shared" si="26"/>
        <v>0.13853894977724321</v>
      </c>
      <c r="U198" s="1312">
        <f t="shared" si="26"/>
        <v>0.67784772260229431</v>
      </c>
      <c r="V198" s="1443">
        <v>45323</v>
      </c>
      <c r="W198" s="1490">
        <v>45657</v>
      </c>
      <c r="X198" s="1303" t="s">
        <v>2198</v>
      </c>
      <c r="Y198" s="3107"/>
    </row>
    <row r="199" spans="1:25" ht="92.4">
      <c r="A199" s="3109"/>
      <c r="B199" s="3109"/>
      <c r="C199" s="3109"/>
      <c r="D199" s="3111"/>
      <c r="E199" s="1437" t="s">
        <v>2199</v>
      </c>
      <c r="F199" s="1532"/>
      <c r="G199" s="1414"/>
      <c r="H199" s="1424"/>
      <c r="I199" s="1414" t="s">
        <v>2200</v>
      </c>
      <c r="J199" s="1415" t="s">
        <v>2201</v>
      </c>
      <c r="K199" s="1441">
        <v>100</v>
      </c>
      <c r="L199" s="1462">
        <v>0.09</v>
      </c>
      <c r="M199" s="1326">
        <v>0</v>
      </c>
      <c r="N199" s="1315">
        <v>0</v>
      </c>
      <c r="O199" s="3113"/>
      <c r="P199" s="1441">
        <v>161567400</v>
      </c>
      <c r="Q199" s="1344">
        <v>161567400</v>
      </c>
      <c r="R199" s="1344">
        <v>0</v>
      </c>
      <c r="S199" s="1344">
        <v>0</v>
      </c>
      <c r="T199" s="1377">
        <f t="shared" si="26"/>
        <v>0</v>
      </c>
      <c r="U199" s="1312">
        <f t="shared" si="26"/>
        <v>0</v>
      </c>
      <c r="V199" s="1443"/>
      <c r="W199" s="1490"/>
      <c r="X199" s="1303"/>
      <c r="Y199" s="3107"/>
    </row>
    <row r="200" spans="1:25" ht="27.6">
      <c r="A200" s="1422">
        <v>4145</v>
      </c>
      <c r="B200" s="1433">
        <v>52030030005</v>
      </c>
      <c r="C200" s="1433" t="s">
        <v>117</v>
      </c>
      <c r="D200" s="1412" t="s">
        <v>2202</v>
      </c>
      <c r="E200" s="1506"/>
      <c r="F200" s="1422"/>
      <c r="G200" s="1430"/>
      <c r="H200" s="1430"/>
      <c r="I200" s="1430"/>
      <c r="J200" s="1430"/>
      <c r="K200" s="1430"/>
      <c r="L200" s="1430"/>
      <c r="M200" s="1365"/>
      <c r="N200" s="1333"/>
      <c r="O200" s="1510"/>
      <c r="P200" s="1431"/>
      <c r="Q200" s="1366"/>
      <c r="R200" s="1366"/>
      <c r="S200" s="1366"/>
      <c r="T200" s="1308"/>
      <c r="U200" s="1308"/>
      <c r="V200" s="1432"/>
      <c r="W200" s="1529"/>
      <c r="X200" s="1364"/>
      <c r="Y200" s="1422"/>
    </row>
    <row r="201" spans="1:25">
      <c r="A201" s="3109">
        <v>4145</v>
      </c>
      <c r="B201" s="3115"/>
      <c r="C201" s="3109" t="s">
        <v>123</v>
      </c>
      <c r="D201" s="3111" t="s">
        <v>2203</v>
      </c>
      <c r="E201" s="1437" t="s">
        <v>2204</v>
      </c>
      <c r="F201" s="1425"/>
      <c r="G201" s="1438"/>
      <c r="H201" s="1464"/>
      <c r="I201" s="1438"/>
      <c r="J201" s="1414"/>
      <c r="K201" s="1441">
        <f>K206</f>
        <v>9000</v>
      </c>
      <c r="L201" s="1442">
        <f>SUM(L202:L206)</f>
        <v>1</v>
      </c>
      <c r="M201" s="1326"/>
      <c r="N201" s="1315">
        <f>SUM(N202:N206)</f>
        <v>0.224</v>
      </c>
      <c r="O201" s="3113">
        <f>IF(Q201&gt;0,N201,"na")</f>
        <v>0.224</v>
      </c>
      <c r="P201" s="1417">
        <f>SUM(P202:P206)</f>
        <v>3225140000</v>
      </c>
      <c r="Q201" s="1311">
        <f>SUM(Q202:Q206)</f>
        <v>3225140000</v>
      </c>
      <c r="R201" s="1327">
        <f>SUM(R202:R206)</f>
        <v>226445000</v>
      </c>
      <c r="S201" s="1327">
        <f>SUM(S202:S206)</f>
        <v>80779000</v>
      </c>
      <c r="T201" s="1312">
        <f t="shared" ref="T201:U206" si="27">IF(Q201=0,0,R201/Q201)</f>
        <v>7.0212455893387579E-2</v>
      </c>
      <c r="U201" s="1312">
        <f t="shared" si="27"/>
        <v>0.35672679900196513</v>
      </c>
      <c r="V201" s="1490"/>
      <c r="W201" s="1490"/>
      <c r="X201" s="1303"/>
      <c r="Y201" s="3107" t="s">
        <v>1752</v>
      </c>
    </row>
    <row r="202" spans="1:25" ht="66">
      <c r="A202" s="3109"/>
      <c r="B202" s="3115"/>
      <c r="C202" s="3109"/>
      <c r="D202" s="3111"/>
      <c r="E202" s="1437" t="s">
        <v>2205</v>
      </c>
      <c r="F202" s="1438"/>
      <c r="G202" s="1423"/>
      <c r="H202" s="1425"/>
      <c r="I202" s="1438" t="s">
        <v>2206</v>
      </c>
      <c r="J202" s="1415" t="s">
        <v>2207</v>
      </c>
      <c r="K202" s="1417">
        <v>4</v>
      </c>
      <c r="L202" s="1462">
        <v>0.09</v>
      </c>
      <c r="M202" s="1326">
        <v>1</v>
      </c>
      <c r="N202" s="1315">
        <v>2.1000000000000001E-2</v>
      </c>
      <c r="O202" s="3113"/>
      <c r="P202" s="1441">
        <v>279459600</v>
      </c>
      <c r="Q202" s="1311">
        <v>279459600</v>
      </c>
      <c r="R202" s="1311">
        <v>46414000</v>
      </c>
      <c r="S202" s="1311">
        <v>11540000</v>
      </c>
      <c r="T202" s="1312">
        <f t="shared" si="27"/>
        <v>0.16608482943509545</v>
      </c>
      <c r="U202" s="1312">
        <f t="shared" si="27"/>
        <v>0.2486318783125781</v>
      </c>
      <c r="V202" s="1490">
        <v>45306</v>
      </c>
      <c r="W202" s="1490">
        <v>45657</v>
      </c>
      <c r="X202" s="1303" t="s">
        <v>2208</v>
      </c>
      <c r="Y202" s="3107"/>
    </row>
    <row r="203" spans="1:25" ht="52.8">
      <c r="A203" s="3109"/>
      <c r="B203" s="3115"/>
      <c r="C203" s="3109"/>
      <c r="D203" s="3111"/>
      <c r="E203" s="1437" t="s">
        <v>2209</v>
      </c>
      <c r="F203" s="1438"/>
      <c r="G203" s="1440"/>
      <c r="H203" s="1439"/>
      <c r="I203" s="1438" t="s">
        <v>2210</v>
      </c>
      <c r="J203" s="1415" t="s">
        <v>236</v>
      </c>
      <c r="K203" s="1417">
        <v>4</v>
      </c>
      <c r="L203" s="1462">
        <v>0.06</v>
      </c>
      <c r="M203" s="1326">
        <v>0</v>
      </c>
      <c r="N203" s="1315">
        <v>0</v>
      </c>
      <c r="O203" s="3113"/>
      <c r="P203" s="1441">
        <v>203992772</v>
      </c>
      <c r="Q203" s="1311">
        <v>203992772</v>
      </c>
      <c r="R203" s="1311">
        <v>0</v>
      </c>
      <c r="S203" s="1311">
        <v>0</v>
      </c>
      <c r="T203" s="1312">
        <f t="shared" si="27"/>
        <v>0</v>
      </c>
      <c r="U203" s="1312">
        <f t="shared" si="27"/>
        <v>0</v>
      </c>
      <c r="V203" s="1490"/>
      <c r="W203" s="1490"/>
      <c r="X203" s="1303"/>
      <c r="Y203" s="3107"/>
    </row>
    <row r="204" spans="1:25" ht="52.8">
      <c r="A204" s="3109"/>
      <c r="B204" s="3115"/>
      <c r="C204" s="3109"/>
      <c r="D204" s="3111"/>
      <c r="E204" s="1437" t="s">
        <v>2211</v>
      </c>
      <c r="F204" s="1438"/>
      <c r="G204" s="1440"/>
      <c r="H204" s="1439"/>
      <c r="I204" s="1438" t="s">
        <v>2212</v>
      </c>
      <c r="J204" s="1415" t="s">
        <v>2213</v>
      </c>
      <c r="K204" s="1417">
        <v>1200</v>
      </c>
      <c r="L204" s="1462">
        <v>0.18</v>
      </c>
      <c r="M204" s="1326">
        <v>138</v>
      </c>
      <c r="N204" s="1315">
        <v>0.02</v>
      </c>
      <c r="O204" s="3113"/>
      <c r="P204" s="1441">
        <v>578661712</v>
      </c>
      <c r="Q204" s="1311">
        <v>578661712</v>
      </c>
      <c r="R204" s="1311">
        <v>21363000</v>
      </c>
      <c r="S204" s="1311">
        <v>14242000</v>
      </c>
      <c r="T204" s="1312">
        <f t="shared" si="27"/>
        <v>3.6917942827363014E-2</v>
      </c>
      <c r="U204" s="1312">
        <f t="shared" si="27"/>
        <v>0.66666666666666663</v>
      </c>
      <c r="V204" s="1490">
        <v>45323</v>
      </c>
      <c r="W204" s="1490">
        <v>45657</v>
      </c>
      <c r="X204" s="1303" t="s">
        <v>2214</v>
      </c>
      <c r="Y204" s="3107"/>
    </row>
    <row r="205" spans="1:25" ht="66">
      <c r="A205" s="3109"/>
      <c r="B205" s="3115"/>
      <c r="C205" s="3109"/>
      <c r="D205" s="3111"/>
      <c r="E205" s="1437" t="s">
        <v>2215</v>
      </c>
      <c r="F205" s="1438"/>
      <c r="G205" s="1440"/>
      <c r="H205" s="1439"/>
      <c r="I205" s="1438" t="s">
        <v>2216</v>
      </c>
      <c r="J205" s="1415" t="s">
        <v>2217</v>
      </c>
      <c r="K205" s="1417">
        <v>100</v>
      </c>
      <c r="L205" s="1462">
        <v>0.24</v>
      </c>
      <c r="M205" s="1326">
        <v>18</v>
      </c>
      <c r="N205" s="1315">
        <v>4.2999999999999997E-2</v>
      </c>
      <c r="O205" s="3113"/>
      <c r="P205" s="1441">
        <v>773680784</v>
      </c>
      <c r="Q205" s="1311">
        <v>773680784</v>
      </c>
      <c r="R205" s="1311">
        <v>28788000</v>
      </c>
      <c r="S205" s="1311">
        <v>7017000</v>
      </c>
      <c r="T205" s="1312">
        <f t="shared" si="27"/>
        <v>3.7209144385315376E-2</v>
      </c>
      <c r="U205" s="1312">
        <f t="shared" si="27"/>
        <v>0.2437473947478116</v>
      </c>
      <c r="V205" s="1490">
        <v>45323</v>
      </c>
      <c r="W205" s="1490">
        <v>45657</v>
      </c>
      <c r="X205" s="1303" t="s">
        <v>2218</v>
      </c>
      <c r="Y205" s="3107"/>
    </row>
    <row r="206" spans="1:25" ht="79.2">
      <c r="A206" s="3109"/>
      <c r="B206" s="3115"/>
      <c r="C206" s="3109"/>
      <c r="D206" s="3111"/>
      <c r="E206" s="1437" t="s">
        <v>2219</v>
      </c>
      <c r="F206" s="1438"/>
      <c r="G206" s="1438" t="s">
        <v>2202</v>
      </c>
      <c r="H206" s="1439"/>
      <c r="I206" s="1438" t="s">
        <v>2220</v>
      </c>
      <c r="J206" s="1415" t="s">
        <v>2221</v>
      </c>
      <c r="K206" s="1417">
        <v>9000</v>
      </c>
      <c r="L206" s="1462">
        <v>0.43</v>
      </c>
      <c r="M206" s="1326">
        <v>2942</v>
      </c>
      <c r="N206" s="1315">
        <v>0.14000000000000001</v>
      </c>
      <c r="O206" s="3113"/>
      <c r="P206" s="1441">
        <v>1389345132</v>
      </c>
      <c r="Q206" s="1311">
        <v>1389345132</v>
      </c>
      <c r="R206" s="1311">
        <v>129880000</v>
      </c>
      <c r="S206" s="1311">
        <v>47980000</v>
      </c>
      <c r="T206" s="1312">
        <f t="shared" si="27"/>
        <v>9.348289133387197E-2</v>
      </c>
      <c r="U206" s="1312">
        <f t="shared" si="27"/>
        <v>0.36941792423775793</v>
      </c>
      <c r="V206" s="1490">
        <v>45306</v>
      </c>
      <c r="W206" s="1490">
        <v>45657</v>
      </c>
      <c r="X206" s="1303" t="s">
        <v>2222</v>
      </c>
      <c r="Y206" s="3107"/>
    </row>
    <row r="207" spans="1:25" ht="27.6">
      <c r="A207" s="1422"/>
      <c r="B207" s="1433">
        <v>52030080004</v>
      </c>
      <c r="C207" s="1433" t="s">
        <v>117</v>
      </c>
      <c r="D207" s="1412" t="s">
        <v>2223</v>
      </c>
      <c r="E207" s="1506"/>
      <c r="F207" s="1458"/>
      <c r="G207" s="1412"/>
      <c r="H207" s="1412"/>
      <c r="I207" s="1412"/>
      <c r="J207" s="1412"/>
      <c r="K207" s="1430"/>
      <c r="L207" s="1430"/>
      <c r="M207" s="1569"/>
      <c r="N207" s="1319"/>
      <c r="O207" s="1319"/>
      <c r="P207" s="1431"/>
      <c r="Q207" s="1570"/>
      <c r="R207" s="1570"/>
      <c r="S207" s="1570"/>
      <c r="T207" s="1308"/>
      <c r="U207" s="1308"/>
      <c r="V207" s="1529"/>
      <c r="W207" s="1529"/>
      <c r="X207" s="1364"/>
      <c r="Y207" s="1422"/>
    </row>
    <row r="208" spans="1:25">
      <c r="A208" s="3109">
        <v>4145</v>
      </c>
      <c r="B208" s="3115"/>
      <c r="C208" s="3109" t="s">
        <v>123</v>
      </c>
      <c r="D208" s="3111" t="s">
        <v>2224</v>
      </c>
      <c r="E208" s="1437" t="s">
        <v>2225</v>
      </c>
      <c r="F208" s="1425"/>
      <c r="G208" s="1414"/>
      <c r="H208" s="1416"/>
      <c r="I208" s="1414"/>
      <c r="J208" s="1414"/>
      <c r="K208" s="1441">
        <f>SUM(K209)</f>
        <v>665</v>
      </c>
      <c r="L208" s="1442">
        <f>SUM(L209)</f>
        <v>1</v>
      </c>
      <c r="M208" s="1343"/>
      <c r="N208" s="1310">
        <f>SUM(N209)</f>
        <v>0</v>
      </c>
      <c r="O208" s="3116">
        <f>IF(Q208&gt;0,N208,"na")</f>
        <v>0</v>
      </c>
      <c r="P208" s="1417">
        <f>SUM(P209)</f>
        <v>3500000000</v>
      </c>
      <c r="Q208" s="1344">
        <f>SUM(Q209)</f>
        <v>3500000000</v>
      </c>
      <c r="R208" s="1344">
        <f>SUM(R209)</f>
        <v>0</v>
      </c>
      <c r="S208" s="1344">
        <f>SUM(S209)</f>
        <v>0</v>
      </c>
      <c r="T208" s="1312">
        <f>IF(Q208=0,0,R208/Q208)</f>
        <v>0</v>
      </c>
      <c r="U208" s="1312">
        <f>IF(R208=0,0,S208/R208)</f>
        <v>0</v>
      </c>
      <c r="V208" s="1490"/>
      <c r="W208" s="1490"/>
      <c r="X208" s="1303"/>
      <c r="Y208" s="3107" t="s">
        <v>1991</v>
      </c>
    </row>
    <row r="209" spans="1:25" ht="92.4">
      <c r="A209" s="3109"/>
      <c r="B209" s="3115"/>
      <c r="C209" s="3109"/>
      <c r="D209" s="3111"/>
      <c r="E209" s="1437" t="s">
        <v>2226</v>
      </c>
      <c r="F209" s="1434"/>
      <c r="G209" s="1415" t="s">
        <v>2227</v>
      </c>
      <c r="H209" s="1416"/>
      <c r="I209" s="1414" t="s">
        <v>2228</v>
      </c>
      <c r="J209" s="1415" t="s">
        <v>2229</v>
      </c>
      <c r="K209" s="1441">
        <v>665</v>
      </c>
      <c r="L209" s="1462">
        <v>1</v>
      </c>
      <c r="M209" s="1326">
        <v>0</v>
      </c>
      <c r="N209" s="1315">
        <v>0</v>
      </c>
      <c r="O209" s="3116"/>
      <c r="P209" s="1441">
        <v>3500000000</v>
      </c>
      <c r="Q209" s="1311">
        <v>3500000000</v>
      </c>
      <c r="R209" s="1327">
        <v>0</v>
      </c>
      <c r="S209" s="1327">
        <v>0</v>
      </c>
      <c r="T209" s="1312">
        <f>IF(Q209=0,0,R209/Q209)</f>
        <v>0</v>
      </c>
      <c r="U209" s="1312">
        <f>IF(R209=0,0,S209/R209)</f>
        <v>0</v>
      </c>
      <c r="V209" s="1465"/>
      <c r="W209" s="1490"/>
      <c r="X209" s="1303"/>
      <c r="Y209" s="3107"/>
    </row>
    <row r="210" spans="1:25" ht="15.6">
      <c r="A210" s="1420"/>
      <c r="B210" s="1479">
        <v>53</v>
      </c>
      <c r="C210" s="1420" t="s">
        <v>114</v>
      </c>
      <c r="D210" s="1533" t="s">
        <v>2230</v>
      </c>
      <c r="E210" s="1534"/>
      <c r="F210" s="1535"/>
      <c r="G210" s="1406"/>
      <c r="H210" s="1536"/>
      <c r="I210" s="1407"/>
      <c r="J210" s="1407"/>
      <c r="K210" s="1537"/>
      <c r="L210" s="1538"/>
      <c r="M210" s="1575"/>
      <c r="N210" s="1323"/>
      <c r="O210" s="1323"/>
      <c r="P210" s="1537"/>
      <c r="Q210" s="1379"/>
      <c r="R210" s="1379"/>
      <c r="S210" s="1379"/>
      <c r="T210" s="1304"/>
      <c r="U210" s="1304"/>
      <c r="V210" s="1539"/>
      <c r="W210" s="1540"/>
      <c r="X210" s="1378"/>
      <c r="Y210" s="1406"/>
    </row>
    <row r="211" spans="1:25" ht="15.6">
      <c r="A211" s="1420"/>
      <c r="B211" s="1479">
        <v>5305</v>
      </c>
      <c r="C211" s="1420" t="s">
        <v>115</v>
      </c>
      <c r="D211" s="1541" t="s">
        <v>266</v>
      </c>
      <c r="E211" s="1534"/>
      <c r="F211" s="1535"/>
      <c r="G211" s="1406"/>
      <c r="H211" s="1536"/>
      <c r="I211" s="1407"/>
      <c r="J211" s="1407"/>
      <c r="K211" s="1537"/>
      <c r="L211" s="1538"/>
      <c r="M211" s="1575"/>
      <c r="N211" s="1323"/>
      <c r="O211" s="1323"/>
      <c r="P211" s="1537"/>
      <c r="Q211" s="1379"/>
      <c r="R211" s="1379"/>
      <c r="S211" s="1379"/>
      <c r="T211" s="1304"/>
      <c r="U211" s="1304"/>
      <c r="V211" s="1539"/>
      <c r="W211" s="1540"/>
      <c r="X211" s="1378"/>
      <c r="Y211" s="1406"/>
    </row>
    <row r="212" spans="1:25">
      <c r="A212" s="1425"/>
      <c r="B212" s="1426">
        <v>5305002</v>
      </c>
      <c r="C212" s="1444" t="s">
        <v>116</v>
      </c>
      <c r="D212" s="1410" t="s">
        <v>2231</v>
      </c>
      <c r="E212" s="1427"/>
      <c r="F212" s="1434"/>
      <c r="G212" s="1408"/>
      <c r="H212" s="1439"/>
      <c r="I212" s="1414"/>
      <c r="J212" s="1414"/>
      <c r="K212" s="1436"/>
      <c r="L212" s="1462"/>
      <c r="M212" s="1326"/>
      <c r="N212" s="1324"/>
      <c r="O212" s="1484"/>
      <c r="P212" s="1436"/>
      <c r="Q212" s="1320"/>
      <c r="R212" s="1320"/>
      <c r="S212" s="1320"/>
      <c r="T212" s="1312"/>
      <c r="U212" s="1312"/>
      <c r="V212" s="1446"/>
      <c r="W212" s="1443"/>
      <c r="X212" s="1303"/>
      <c r="Y212" s="1408"/>
    </row>
    <row r="213" spans="1:25" ht="27.6">
      <c r="A213" s="1425"/>
      <c r="B213" s="1422">
        <v>53050020004</v>
      </c>
      <c r="C213" s="1422" t="s">
        <v>117</v>
      </c>
      <c r="D213" s="1412" t="s">
        <v>2232</v>
      </c>
      <c r="E213" s="1506"/>
      <c r="F213" s="1458"/>
      <c r="G213" s="1434"/>
      <c r="H213" s="1453"/>
      <c r="I213" s="1434"/>
      <c r="J213" s="1423"/>
      <c r="K213" s="1450"/>
      <c r="L213" s="1450"/>
      <c r="M213" s="1326"/>
      <c r="N213" s="1315"/>
      <c r="O213" s="1310"/>
      <c r="P213" s="1450"/>
      <c r="Q213" s="1311"/>
      <c r="R213" s="1327"/>
      <c r="S213" s="1327"/>
      <c r="T213" s="1312"/>
      <c r="U213" s="1312"/>
      <c r="V213" s="1450"/>
      <c r="W213" s="1450"/>
      <c r="X213" s="1367"/>
      <c r="Y213" s="1425"/>
    </row>
    <row r="214" spans="1:25">
      <c r="A214" s="3109">
        <v>4145</v>
      </c>
      <c r="B214" s="3109"/>
      <c r="C214" s="3109" t="s">
        <v>123</v>
      </c>
      <c r="D214" s="3111" t="s">
        <v>2233</v>
      </c>
      <c r="E214" s="1437" t="s">
        <v>2234</v>
      </c>
      <c r="F214" s="1425"/>
      <c r="G214" s="1434"/>
      <c r="H214" s="1453"/>
      <c r="I214" s="1434"/>
      <c r="J214" s="1423"/>
      <c r="K214" s="1441">
        <f>SUM(K216+K219)</f>
        <v>387</v>
      </c>
      <c r="L214" s="1442">
        <f>SUM(L215:L221)</f>
        <v>1</v>
      </c>
      <c r="M214" s="1326"/>
      <c r="N214" s="1315">
        <f>SUM(N215:N221)</f>
        <v>0.20250000000000001</v>
      </c>
      <c r="O214" s="3113">
        <f>IF(Q214&gt;0,N214,"na")</f>
        <v>0.20250000000000001</v>
      </c>
      <c r="P214" s="1417">
        <f>SUM(P215:P221)</f>
        <v>3200800000</v>
      </c>
      <c r="Q214" s="1311">
        <f>SUM(Q215:Q221)</f>
        <v>3200800000</v>
      </c>
      <c r="R214" s="1327">
        <f>SUM(R215:R221)</f>
        <v>1046178500</v>
      </c>
      <c r="S214" s="1327">
        <f>SUM(S215:S221)</f>
        <v>319898500</v>
      </c>
      <c r="T214" s="1312">
        <f t="shared" ref="T214:U221" si="28">IF(Q214=0,0,R214/Q214)</f>
        <v>0.32684906898275429</v>
      </c>
      <c r="U214" s="1312">
        <f t="shared" si="28"/>
        <v>0.30577812486110162</v>
      </c>
      <c r="V214" s="1465"/>
      <c r="W214" s="1490"/>
      <c r="X214" s="1367"/>
      <c r="Y214" s="3107" t="s">
        <v>1991</v>
      </c>
    </row>
    <row r="215" spans="1:25" ht="79.2">
      <c r="A215" s="3109"/>
      <c r="B215" s="3109"/>
      <c r="C215" s="3109"/>
      <c r="D215" s="3111"/>
      <c r="E215" s="1437" t="s">
        <v>2235</v>
      </c>
      <c r="F215" s="1438"/>
      <c r="G215" s="1423"/>
      <c r="H215" s="1423"/>
      <c r="I215" s="1414" t="s">
        <v>2236</v>
      </c>
      <c r="J215" s="1415" t="s">
        <v>120</v>
      </c>
      <c r="K215" s="1441">
        <v>1000</v>
      </c>
      <c r="L215" s="1462">
        <v>0.05</v>
      </c>
      <c r="M215" s="1326">
        <v>0</v>
      </c>
      <c r="N215" s="1315">
        <v>0</v>
      </c>
      <c r="O215" s="3113"/>
      <c r="P215" s="1441">
        <v>224884850</v>
      </c>
      <c r="Q215" s="1311">
        <v>224884850</v>
      </c>
      <c r="R215" s="1311">
        <v>0</v>
      </c>
      <c r="S215" s="1311">
        <v>0</v>
      </c>
      <c r="T215" s="1312">
        <f t="shared" si="28"/>
        <v>0</v>
      </c>
      <c r="U215" s="1312">
        <f t="shared" si="28"/>
        <v>0</v>
      </c>
      <c r="V215" s="1446"/>
      <c r="W215" s="1443"/>
      <c r="X215" s="1367" t="s">
        <v>2237</v>
      </c>
      <c r="Y215" s="3107"/>
    </row>
    <row r="216" spans="1:25" ht="118.8">
      <c r="A216" s="3109"/>
      <c r="B216" s="3109"/>
      <c r="C216" s="3109"/>
      <c r="D216" s="3111"/>
      <c r="E216" s="1437" t="s">
        <v>2238</v>
      </c>
      <c r="F216" s="1438"/>
      <c r="G216" s="1415" t="s">
        <v>2232</v>
      </c>
      <c r="H216" s="1453"/>
      <c r="I216" s="1414" t="s">
        <v>2239</v>
      </c>
      <c r="J216" s="1415" t="s">
        <v>2240</v>
      </c>
      <c r="K216" s="1441">
        <v>36</v>
      </c>
      <c r="L216" s="1462">
        <v>0.15</v>
      </c>
      <c r="M216" s="1326">
        <v>4</v>
      </c>
      <c r="N216" s="1315">
        <v>1.67E-2</v>
      </c>
      <c r="O216" s="3113"/>
      <c r="P216" s="1441">
        <v>122607720</v>
      </c>
      <c r="Q216" s="1311">
        <v>122607720</v>
      </c>
      <c r="R216" s="1311">
        <v>23003004</v>
      </c>
      <c r="S216" s="1311">
        <v>13377900</v>
      </c>
      <c r="T216" s="1312">
        <f t="shared" si="28"/>
        <v>0.18761464612505641</v>
      </c>
      <c r="U216" s="1312">
        <f t="shared" si="28"/>
        <v>0.58157186774388248</v>
      </c>
      <c r="V216" s="1443">
        <v>45323</v>
      </c>
      <c r="W216" s="1477" t="s">
        <v>1823</v>
      </c>
      <c r="X216" s="1367" t="s">
        <v>2241</v>
      </c>
      <c r="Y216" s="3107"/>
    </row>
    <row r="217" spans="1:25" ht="66">
      <c r="A217" s="3109"/>
      <c r="B217" s="3109"/>
      <c r="C217" s="3109"/>
      <c r="D217" s="3111"/>
      <c r="E217" s="1437" t="s">
        <v>2242</v>
      </c>
      <c r="F217" s="1438"/>
      <c r="G217" s="1414"/>
      <c r="H217" s="1424"/>
      <c r="I217" s="1414" t="s">
        <v>2243</v>
      </c>
      <c r="J217" s="1415" t="s">
        <v>2244</v>
      </c>
      <c r="K217" s="1441">
        <v>7</v>
      </c>
      <c r="L217" s="1462">
        <v>0.02</v>
      </c>
      <c r="M217" s="1326">
        <v>4</v>
      </c>
      <c r="N217" s="1315">
        <v>1.14E-2</v>
      </c>
      <c r="O217" s="3113"/>
      <c r="P217" s="1441">
        <v>26895600</v>
      </c>
      <c r="Q217" s="1311">
        <v>26895600</v>
      </c>
      <c r="R217" s="1311">
        <v>4510604</v>
      </c>
      <c r="S217" s="1311">
        <v>2756456</v>
      </c>
      <c r="T217" s="1312">
        <f t="shared" si="28"/>
        <v>0.16770787786849894</v>
      </c>
      <c r="U217" s="1312">
        <f t="shared" si="28"/>
        <v>0.61110574104931403</v>
      </c>
      <c r="V217" s="1446">
        <v>45306</v>
      </c>
      <c r="W217" s="1443" t="s">
        <v>1823</v>
      </c>
      <c r="X217" s="1367" t="s">
        <v>2245</v>
      </c>
      <c r="Y217" s="3107"/>
    </row>
    <row r="218" spans="1:25" ht="92.4">
      <c r="A218" s="3109"/>
      <c r="B218" s="3109"/>
      <c r="C218" s="3109"/>
      <c r="D218" s="3111"/>
      <c r="E218" s="1437" t="s">
        <v>2246</v>
      </c>
      <c r="F218" s="1438"/>
      <c r="G218" s="1414"/>
      <c r="H218" s="1424"/>
      <c r="I218" s="1414" t="s">
        <v>2247</v>
      </c>
      <c r="J218" s="1415" t="s">
        <v>2248</v>
      </c>
      <c r="K218" s="1441">
        <v>1</v>
      </c>
      <c r="L218" s="1462">
        <v>0.4</v>
      </c>
      <c r="M218" s="1380">
        <v>0.3</v>
      </c>
      <c r="N218" s="1315">
        <v>0.12</v>
      </c>
      <c r="O218" s="3113"/>
      <c r="P218" s="1441">
        <v>2158214400</v>
      </c>
      <c r="Q218" s="1311">
        <v>2158214400</v>
      </c>
      <c r="R218" s="1311">
        <v>922665000</v>
      </c>
      <c r="S218" s="1311">
        <v>245301000</v>
      </c>
      <c r="T218" s="1312">
        <f t="shared" si="28"/>
        <v>0.42751313307890076</v>
      </c>
      <c r="U218" s="1312">
        <f t="shared" si="28"/>
        <v>0.26586139064557557</v>
      </c>
      <c r="V218" s="1446">
        <v>45306</v>
      </c>
      <c r="W218" s="1443" t="s">
        <v>1823</v>
      </c>
      <c r="X218" s="1367" t="s">
        <v>2249</v>
      </c>
      <c r="Y218" s="3107"/>
    </row>
    <row r="219" spans="1:25" ht="118.8">
      <c r="A219" s="3109"/>
      <c r="B219" s="3109"/>
      <c r="C219" s="3109"/>
      <c r="D219" s="3111"/>
      <c r="E219" s="1437" t="s">
        <v>2250</v>
      </c>
      <c r="F219" s="1438"/>
      <c r="G219" s="1415" t="s">
        <v>2232</v>
      </c>
      <c r="H219" s="1508"/>
      <c r="I219" s="1414" t="s">
        <v>2251</v>
      </c>
      <c r="J219" s="1415" t="s">
        <v>2252</v>
      </c>
      <c r="K219" s="1441">
        <v>351</v>
      </c>
      <c r="L219" s="1462">
        <v>0.25</v>
      </c>
      <c r="M219" s="1343">
        <v>9</v>
      </c>
      <c r="N219" s="1310">
        <v>6.4000000000000003E-3</v>
      </c>
      <c r="O219" s="3113"/>
      <c r="P219" s="1441">
        <v>311094000</v>
      </c>
      <c r="Q219" s="1311">
        <v>311094000</v>
      </c>
      <c r="R219" s="1311">
        <v>38832000</v>
      </c>
      <c r="S219" s="1311">
        <v>21119000</v>
      </c>
      <c r="T219" s="1312">
        <f t="shared" si="28"/>
        <v>0.12482400817759262</v>
      </c>
      <c r="U219" s="1312">
        <f t="shared" si="28"/>
        <v>0.54385558302430981</v>
      </c>
      <c r="V219" s="1446">
        <v>45323</v>
      </c>
      <c r="W219" s="1443" t="s">
        <v>1823</v>
      </c>
      <c r="X219" s="1303" t="s">
        <v>2253</v>
      </c>
      <c r="Y219" s="3107"/>
    </row>
    <row r="220" spans="1:25" ht="79.2">
      <c r="A220" s="3109"/>
      <c r="B220" s="3109"/>
      <c r="C220" s="3109"/>
      <c r="D220" s="3111"/>
      <c r="E220" s="1437" t="s">
        <v>2254</v>
      </c>
      <c r="F220" s="1438"/>
      <c r="G220" s="1414"/>
      <c r="H220" s="1424"/>
      <c r="I220" s="1414" t="s">
        <v>2255</v>
      </c>
      <c r="J220" s="1415" t="s">
        <v>2256</v>
      </c>
      <c r="K220" s="1441">
        <v>100</v>
      </c>
      <c r="L220" s="1462">
        <v>0.1</v>
      </c>
      <c r="M220" s="1326">
        <v>39</v>
      </c>
      <c r="N220" s="1315">
        <v>3.9E-2</v>
      </c>
      <c r="O220" s="3113"/>
      <c r="P220" s="1441">
        <v>101338910</v>
      </c>
      <c r="Q220" s="1311">
        <v>101338910</v>
      </c>
      <c r="R220" s="1311">
        <v>8172702</v>
      </c>
      <c r="S220" s="1311">
        <v>4469850</v>
      </c>
      <c r="T220" s="1312">
        <f t="shared" si="28"/>
        <v>8.0647226223372642E-2</v>
      </c>
      <c r="U220" s="1312">
        <f t="shared" si="28"/>
        <v>0.5469243831477032</v>
      </c>
      <c r="V220" s="1446">
        <v>45306</v>
      </c>
      <c r="W220" s="1443" t="s">
        <v>1823</v>
      </c>
      <c r="X220" s="1303" t="s">
        <v>2257</v>
      </c>
      <c r="Y220" s="3107"/>
    </row>
    <row r="221" spans="1:25" ht="92.4">
      <c r="A221" s="3110"/>
      <c r="B221" s="3110"/>
      <c r="C221" s="3110"/>
      <c r="D221" s="3112"/>
      <c r="E221" s="1543" t="s">
        <v>2258</v>
      </c>
      <c r="F221" s="1544"/>
      <c r="G221" s="1542"/>
      <c r="H221" s="1545"/>
      <c r="I221" s="1542" t="s">
        <v>2259</v>
      </c>
      <c r="J221" s="1576" t="s">
        <v>2260</v>
      </c>
      <c r="K221" s="1546">
        <v>1</v>
      </c>
      <c r="L221" s="1547">
        <v>0.03</v>
      </c>
      <c r="M221" s="1577">
        <v>0.3</v>
      </c>
      <c r="N221" s="1578">
        <v>8.9999999999999993E-3</v>
      </c>
      <c r="O221" s="3114"/>
      <c r="P221" s="1546">
        <v>255764520</v>
      </c>
      <c r="Q221" s="1548">
        <v>255764520</v>
      </c>
      <c r="R221" s="1548">
        <v>48995190</v>
      </c>
      <c r="S221" s="1548">
        <v>32874294</v>
      </c>
      <c r="T221" s="1549">
        <f t="shared" si="28"/>
        <v>0.1915636695816918</v>
      </c>
      <c r="U221" s="1549">
        <f t="shared" si="28"/>
        <v>0.67096982377249681</v>
      </c>
      <c r="V221" s="1550">
        <v>45306</v>
      </c>
      <c r="W221" s="1551" t="s">
        <v>1823</v>
      </c>
      <c r="X221" s="1552" t="s">
        <v>2261</v>
      </c>
      <c r="Y221" s="3108"/>
    </row>
    <row r="222" spans="1:25">
      <c r="A222" s="1553"/>
      <c r="B222" s="1553"/>
      <c r="C222" s="1553"/>
      <c r="D222" s="1554"/>
      <c r="E222" s="1555"/>
      <c r="F222" s="1556"/>
      <c r="G222" s="1554"/>
      <c r="H222" s="1557"/>
      <c r="I222" s="1554"/>
      <c r="J222" s="1579"/>
      <c r="K222" s="1558"/>
      <c r="L222" s="1559"/>
      <c r="M222" s="1388"/>
      <c r="N222" s="1580"/>
      <c r="O222" s="1560"/>
      <c r="P222" s="1558"/>
      <c r="Q222" s="1561"/>
      <c r="R222" s="1561"/>
      <c r="S222" s="1561"/>
      <c r="T222" s="1398"/>
      <c r="U222" s="1398"/>
      <c r="V222" s="1562"/>
      <c r="W222" s="1563"/>
      <c r="X222" s="1564"/>
      <c r="Y222" s="1565"/>
    </row>
    <row r="223" spans="1:25">
      <c r="A223" s="1381"/>
      <c r="B223" s="1382" t="s">
        <v>50</v>
      </c>
      <c r="C223" s="1383">
        <f>COUNTIF(C11:C221,"pr")</f>
        <v>38</v>
      </c>
      <c r="D223" s="1384" t="s">
        <v>1659</v>
      </c>
      <c r="E223" s="1385">
        <f>COUNTIF(O7:O221,"na")-C224</f>
        <v>0</v>
      </c>
      <c r="F223" s="1381"/>
      <c r="G223" s="1383"/>
      <c r="H223" s="1386"/>
      <c r="I223" s="1581"/>
      <c r="J223" s="1582"/>
      <c r="K223" s="1386"/>
      <c r="L223" s="1387"/>
      <c r="M223" s="1387"/>
      <c r="N223" s="1388" t="s">
        <v>561</v>
      </c>
      <c r="O223" s="1389">
        <f>+(O214+O208+O201+O195+O190+O187+O180+O176+O169+O166+O161+O157+O151+O145+O139+O135+O130+O125+O120+O115+O110+O106+O101+O96+O92+O86+O81+O74+O69+O60+O53+O47+O38+O33+O25+O20+O17+O11)/38</f>
        <v>9.4558059051045418E-2</v>
      </c>
      <c r="P223" s="1390">
        <f>+P214+P208+P201+P195+P190+P187+P180+P176+P169+P166+P161+P157+P151+P145+P139+P135+P130+P125+P120+P115+P110+P106+P101+P96+P92+P86+P81+P74+P69+P60+P53+P47+P38+P33+P25+P20+P17+P11</f>
        <v>1375048175496</v>
      </c>
      <c r="Q223" s="1390">
        <f>+Q214+Q208+Q201+Q195+Q190+Q187+Q180+Q176+Q169+Q166+Q161+Q157+Q151+Q145+Q139+Q135+Q130+Q125+Q120+Q115+Q110+Q106+Q101+Q96+Q92+Q86+Q81+Q74+Q69+Q60+Q53+Q47+Q38+Q33+Q25+Q20+Q17+Q11</f>
        <v>1375048175496</v>
      </c>
      <c r="R223" s="1390">
        <f>+R214+R208+R201+R195+R190+R187+R180+R176+R169+R166+R161+R157+R151+R145+R139+R135+R130+R125+R120+R115+R110+R106+R101+R96+R92+R86+R81+R74+R69+R60+R53+R47+R38+R33+R25+R20+R17+R11</f>
        <v>327794836229</v>
      </c>
      <c r="S223" s="1390">
        <f>+S214+S208+S201+S195+S190+S187+S180+S176+S169+S166+S161+S157+S151+S145+S139+S135+S130+S125+S120+S115+S110+S106+S101+S96+S92+S86+S81+S74+S69+S60+S53+S47+S38+S33+S25+S20+S17+S11</f>
        <v>324290418038</v>
      </c>
      <c r="T223" s="1398">
        <f t="shared" ref="T223" si="29">IF(Q223=0,0,R223/Q223)</f>
        <v>0.2383878921993112</v>
      </c>
      <c r="U223" s="1398">
        <f t="shared" ref="U223" si="30">IF(R223=0,0,S223/R223)</f>
        <v>0.9893091110545994</v>
      </c>
      <c r="V223" s="1399"/>
      <c r="W223" s="1399"/>
      <c r="X223" s="1400"/>
      <c r="Y223" s="1400"/>
    </row>
    <row r="224" spans="1:25">
      <c r="A224" s="1391"/>
      <c r="B224" s="1388" t="s">
        <v>2262</v>
      </c>
      <c r="C224" s="1391">
        <f>COUNTIF(C12:C221,"db")</f>
        <v>0</v>
      </c>
      <c r="D224" s="1388"/>
      <c r="E224" s="1388"/>
      <c r="F224" s="1388"/>
      <c r="G224" s="1388"/>
      <c r="H224" s="1388"/>
      <c r="I224" s="1388"/>
      <c r="J224" s="1391"/>
      <c r="K224" s="1392"/>
      <c r="L224" s="1393"/>
      <c r="M224" s="1393"/>
      <c r="N224" s="1394" t="s">
        <v>133</v>
      </c>
      <c r="O224" s="1395">
        <f>COUNTIF(O7:O221,"=0%")</f>
        <v>11</v>
      </c>
      <c r="P224" s="1396">
        <v>1375048175496</v>
      </c>
      <c r="Q224" s="1397">
        <v>1375048175496</v>
      </c>
      <c r="R224" s="1397">
        <v>327794836229</v>
      </c>
      <c r="S224" s="1397">
        <v>324290418038</v>
      </c>
      <c r="T224" s="1566"/>
      <c r="U224" s="1398"/>
      <c r="V224" s="1399"/>
      <c r="W224" s="1399"/>
      <c r="X224" s="1342"/>
      <c r="Y224" s="1400"/>
    </row>
  </sheetData>
  <protectedRanges>
    <protectedRange sqref="H20:H21 H23 J20:J23" name="Rango1_2_1"/>
    <protectedRange sqref="J106 H103 H106" name="Rango1_5"/>
    <protectedRange sqref="G75 I75 J73:J78 J80:J81 H76:H78 H88:H90 H93:H94 J88:J94 J83:J85" name="Rango1_7_1"/>
    <protectedRange sqref="J134:J135 H135" name="Rango1_9_1"/>
    <protectedRange sqref="H130 J128:J130" name="Rango1_16_1"/>
    <protectedRange sqref="G168 G175:J177 I171:J172 J173:J174 G173:G174 G170:H172" name="Rango1_17_1"/>
    <protectedRange sqref="H126 J123:J126" name="Rango1_21_1"/>
    <protectedRange sqref="G212:J212 G221:J222 G219:J219 G213:H218 H220:J220" name="Rango1_24_1"/>
    <protectedRange sqref="G107:J107 H109:J109 I108:J108 G111:J112 G110:H110 G108:G109" name="Rango1_31_1"/>
    <protectedRange sqref="H155 J146:J155 H149" name="Rango1_15_1"/>
    <protectedRange sqref="G158 I160:J160 J157:J158 G161:J164 D162" name="Rango1_38_1_1"/>
    <protectedRange sqref="J95:J101 H95 H97:H101" name="Rango1_5_1_1_1_3_1"/>
    <protectedRange sqref="K127" name="Rango1_16_1_1"/>
    <protectedRange sqref="K166" name="Rango1_17_1_1"/>
    <protectedRange sqref="K208" name="Rango1_18_2_1"/>
    <protectedRange sqref="L212 L219" name="Rango1_24_1_1"/>
    <protectedRange sqref="K160:K164" name="Rango1_39_1_1_1"/>
    <protectedRange sqref="K20:K23" name="Rango1_3_1_1"/>
    <protectedRange sqref="K106" name="Rango1_4_1_1"/>
    <protectedRange sqref="K73:K78 K80:K81 K83:K94" name="Rango1_8_1_1"/>
    <protectedRange sqref="K135" name="Rango1_9_1_2"/>
    <protectedRange sqref="K128:K129" name="Rango1_16_1_2"/>
    <protectedRange sqref="M167" name="Rango1_17_1_2"/>
    <protectedRange sqref="K210:K211" name="Rango1_18_2_1_1"/>
    <protectedRange sqref="K126" name="Rango1_21_1_2"/>
    <protectedRange sqref="K220:L222" name="Rango1_24_1_2"/>
    <protectedRange sqref="K146:K155" name="Rango1_20_1_1"/>
    <protectedRange sqref="H30:I32" name="Rango1_30_1_1"/>
    <protectedRange sqref="I157:I158" name="Rango1_38_1_1_1"/>
    <protectedRange sqref="K157:K158" name="Rango1_39_1_1_1_1"/>
    <protectedRange sqref="H75" name="Rango1_7_1_1"/>
    <protectedRange sqref="H80" name="Rango1_7_1_2"/>
    <protectedRange sqref="H83" name="Rango1_7_1_3"/>
    <protectedRange sqref="H91" name="Rango1_7_1_4"/>
    <protectedRange sqref="H96" name="Rango1_5_1_1_1_3_1_1"/>
    <protectedRange sqref="H104" name="Rango1_5_1"/>
    <protectedRange sqref="J104:J105" name="Rango1_5_2"/>
    <protectedRange sqref="K104:K105" name="Rango1_4_1_1_1"/>
    <protectedRange sqref="I110:J110" name="Rango1_31_1_1"/>
    <protectedRange sqref="H123:H125" name="Rango1_21_1_1_3"/>
    <protectedRange sqref="K123:K125" name="Rango1_21_1_2_1"/>
    <protectedRange sqref="H128" name="Rango1_16_1_3_1"/>
    <protectedRange sqref="H157:H158" name="Rango1_38_1_1_2_1"/>
    <protectedRange sqref="H160" name="Rango1_38_1_1_3"/>
    <protectedRange sqref="H168" name="Rango1_17_1_3_1"/>
    <protectedRange sqref="M168:M169" name="Rango1_17_1_2_1"/>
    <protectedRange sqref="H173:H174" name="Rango1_17_1_6"/>
    <protectedRange sqref="I173:I174" name="Rango1_17_1_7"/>
    <protectedRange sqref="H148" name="Rango1_15_1_1"/>
    <protectedRange sqref="K209" name="Rango1_18_2_1_1_1"/>
    <protectedRange sqref="I213:J218" name="Rango1_24_1_3"/>
    <protectedRange sqref="K213 K217:K218" name="Rango1_24_1_2_1"/>
    <protectedRange sqref="K134" name="Rango1_9_1_2_1_1"/>
    <protectedRange sqref="L213:L218" name="Rango1_24_1_2_2"/>
    <protectedRange sqref="H17 J17:J19" name="Rango1_2_1_2"/>
    <protectedRange sqref="K17" name="Rango1_3_1_1_3"/>
    <protectedRange sqref="H18" name="Rango1_2_1_1_1_1"/>
    <protectedRange sqref="K18:K19" name="Rango1_3_1_1_1_2"/>
    <protectedRange sqref="P219" name="Rango1_24_1_1_2_1_3"/>
    <protectedRange sqref="P212:S212" name="Rango1_24_1_1_2_1_2"/>
    <protectedRange sqref="G220" name="Rango1_24_1_3_1"/>
    <protectedRange sqref="J86:J87" name="Rango1_7_1_5"/>
    <protectedRange sqref="M128:M129" name="Rango1_16_1_2_1"/>
    <protectedRange sqref="I167:J167 J168:J170" name="Rango1_17_1_3"/>
    <protectedRange sqref="K167" name="Rango1_17_1_2_2"/>
    <protectedRange sqref="I168:I170" name="Rango1_17_1_4_1"/>
    <protectedRange sqref="K168:K169" name="Rango1_17_1_2_1_1"/>
    <protectedRange sqref="G132" name="Rango1_9_1_1"/>
  </protectedRanges>
  <autoFilter ref="A5:Y6" xr:uid="{00000000-0009-0000-0000-00000D000000}"/>
  <mergeCells count="264">
    <mergeCell ref="A1:X1"/>
    <mergeCell ref="M5:M6"/>
    <mergeCell ref="R5:R6"/>
    <mergeCell ref="O5:O6"/>
    <mergeCell ref="A4:Y4"/>
    <mergeCell ref="A5:A6"/>
    <mergeCell ref="B5:B6"/>
    <mergeCell ref="C5:C6"/>
    <mergeCell ref="U5:U6"/>
    <mergeCell ref="V5:V6"/>
    <mergeCell ref="A2:Y2"/>
    <mergeCell ref="A3:B3"/>
    <mergeCell ref="C3:R3"/>
    <mergeCell ref="S3:U3"/>
    <mergeCell ref="G5:G6"/>
    <mergeCell ref="H5:H6"/>
    <mergeCell ref="D5:D6"/>
    <mergeCell ref="E5:E6"/>
    <mergeCell ref="F5:F6"/>
    <mergeCell ref="X5:X6"/>
    <mergeCell ref="Y5:Y6"/>
    <mergeCell ref="S5:S6"/>
    <mergeCell ref="T5:T6"/>
    <mergeCell ref="L5:L6"/>
    <mergeCell ref="A11:A12"/>
    <mergeCell ref="B11:B12"/>
    <mergeCell ref="C11:C12"/>
    <mergeCell ref="D11:D12"/>
    <mergeCell ref="O11:O12"/>
    <mergeCell ref="V3:W3"/>
    <mergeCell ref="K5:K6"/>
    <mergeCell ref="P5:P6"/>
    <mergeCell ref="Q5:Q6"/>
    <mergeCell ref="W5:W6"/>
    <mergeCell ref="I5:I6"/>
    <mergeCell ref="J5:J6"/>
    <mergeCell ref="N5:N6"/>
    <mergeCell ref="Y17:Y19"/>
    <mergeCell ref="A20:A22"/>
    <mergeCell ref="B20:B22"/>
    <mergeCell ref="C20:C22"/>
    <mergeCell ref="D20:D22"/>
    <mergeCell ref="O20:O22"/>
    <mergeCell ref="Y20:Y22"/>
    <mergeCell ref="A17:A19"/>
    <mergeCell ref="B17:B19"/>
    <mergeCell ref="C17:C19"/>
    <mergeCell ref="D17:D19"/>
    <mergeCell ref="O17:O19"/>
    <mergeCell ref="Y25:Y29"/>
    <mergeCell ref="A33:A35"/>
    <mergeCell ref="B33:B35"/>
    <mergeCell ref="C33:C35"/>
    <mergeCell ref="D33:D35"/>
    <mergeCell ref="O33:O35"/>
    <mergeCell ref="Y33:Y35"/>
    <mergeCell ref="A25:A29"/>
    <mergeCell ref="B25:B29"/>
    <mergeCell ref="C25:C29"/>
    <mergeCell ref="D25:D29"/>
    <mergeCell ref="O25:O29"/>
    <mergeCell ref="Y38:Y44"/>
    <mergeCell ref="A47:A50"/>
    <mergeCell ref="B47:B50"/>
    <mergeCell ref="C47:C50"/>
    <mergeCell ref="D47:D50"/>
    <mergeCell ref="O47:O50"/>
    <mergeCell ref="Y47:Y50"/>
    <mergeCell ref="A38:A44"/>
    <mergeCell ref="B38:B44"/>
    <mergeCell ref="C38:C44"/>
    <mergeCell ref="D38:D44"/>
    <mergeCell ref="O38:O44"/>
    <mergeCell ref="Y54:Y57"/>
    <mergeCell ref="A60:A66"/>
    <mergeCell ref="B60:B66"/>
    <mergeCell ref="C60:C66"/>
    <mergeCell ref="D60:D66"/>
    <mergeCell ref="O60:O66"/>
    <mergeCell ref="Y60:Y66"/>
    <mergeCell ref="A53:A57"/>
    <mergeCell ref="B53:B57"/>
    <mergeCell ref="C53:C57"/>
    <mergeCell ref="D53:D57"/>
    <mergeCell ref="O53:O57"/>
    <mergeCell ref="Y69:Y71"/>
    <mergeCell ref="A74:A77"/>
    <mergeCell ref="B74:B77"/>
    <mergeCell ref="C74:C77"/>
    <mergeCell ref="D74:D77"/>
    <mergeCell ref="O74:O77"/>
    <mergeCell ref="Y74:Y77"/>
    <mergeCell ref="A69:A71"/>
    <mergeCell ref="B69:B71"/>
    <mergeCell ref="C69:C71"/>
    <mergeCell ref="D69:D71"/>
    <mergeCell ref="O69:O71"/>
    <mergeCell ref="Y81:Y84"/>
    <mergeCell ref="A86:A90"/>
    <mergeCell ref="B86:B90"/>
    <mergeCell ref="C86:C90"/>
    <mergeCell ref="D86:D90"/>
    <mergeCell ref="O86:O90"/>
    <mergeCell ref="Y86:Y90"/>
    <mergeCell ref="A81:A84"/>
    <mergeCell ref="B81:B84"/>
    <mergeCell ref="C81:C84"/>
    <mergeCell ref="D81:D84"/>
    <mergeCell ref="O81:O84"/>
    <mergeCell ref="Y92:Y94"/>
    <mergeCell ref="G93:G94"/>
    <mergeCell ref="H93:H94"/>
    <mergeCell ref="A96:A99"/>
    <mergeCell ref="B96:B99"/>
    <mergeCell ref="C96:C99"/>
    <mergeCell ref="D96:D99"/>
    <mergeCell ref="O96:O99"/>
    <mergeCell ref="Y96:Y99"/>
    <mergeCell ref="A92:A94"/>
    <mergeCell ref="B92:B94"/>
    <mergeCell ref="C92:C94"/>
    <mergeCell ref="D92:D94"/>
    <mergeCell ref="O92:O94"/>
    <mergeCell ref="Y101:Y104"/>
    <mergeCell ref="A106:A108"/>
    <mergeCell ref="B106:B108"/>
    <mergeCell ref="C106:C108"/>
    <mergeCell ref="D106:D108"/>
    <mergeCell ref="O106:O108"/>
    <mergeCell ref="Y106:Y108"/>
    <mergeCell ref="A101:A104"/>
    <mergeCell ref="B101:B104"/>
    <mergeCell ref="C101:C104"/>
    <mergeCell ref="D101:D104"/>
    <mergeCell ref="O101:O104"/>
    <mergeCell ref="Y110:Y113"/>
    <mergeCell ref="A115:A118"/>
    <mergeCell ref="B115:B118"/>
    <mergeCell ref="C115:C118"/>
    <mergeCell ref="D115:D118"/>
    <mergeCell ref="O115:O118"/>
    <mergeCell ref="Y115:Y118"/>
    <mergeCell ref="A110:A113"/>
    <mergeCell ref="B110:B113"/>
    <mergeCell ref="C110:C113"/>
    <mergeCell ref="D110:D113"/>
    <mergeCell ref="O110:O113"/>
    <mergeCell ref="Y120:Y123"/>
    <mergeCell ref="A125:A128"/>
    <mergeCell ref="B125:B128"/>
    <mergeCell ref="C125:C128"/>
    <mergeCell ref="D125:D128"/>
    <mergeCell ref="O125:O128"/>
    <mergeCell ref="Y125:Y128"/>
    <mergeCell ref="A120:A123"/>
    <mergeCell ref="B120:B123"/>
    <mergeCell ref="C120:C123"/>
    <mergeCell ref="D120:D123"/>
    <mergeCell ref="O120:O123"/>
    <mergeCell ref="Y130:Y133"/>
    <mergeCell ref="A135:A137"/>
    <mergeCell ref="B135:B137"/>
    <mergeCell ref="C135:C137"/>
    <mergeCell ref="D135:D137"/>
    <mergeCell ref="O135:O137"/>
    <mergeCell ref="Y135:Y137"/>
    <mergeCell ref="G136:G137"/>
    <mergeCell ref="A130:A133"/>
    <mergeCell ref="B130:B133"/>
    <mergeCell ref="C130:C133"/>
    <mergeCell ref="D130:D133"/>
    <mergeCell ref="O130:O133"/>
    <mergeCell ref="Y139:Y143"/>
    <mergeCell ref="A145:A148"/>
    <mergeCell ref="B145:B148"/>
    <mergeCell ref="C145:C148"/>
    <mergeCell ref="D145:D148"/>
    <mergeCell ref="O145:O148"/>
    <mergeCell ref="Y145:Y148"/>
    <mergeCell ref="A139:A143"/>
    <mergeCell ref="B139:B143"/>
    <mergeCell ref="C139:C143"/>
    <mergeCell ref="D139:D143"/>
    <mergeCell ref="O139:O143"/>
    <mergeCell ref="Y151:Y155"/>
    <mergeCell ref="A157:A159"/>
    <mergeCell ref="B157:B159"/>
    <mergeCell ref="C157:C159"/>
    <mergeCell ref="D157:D159"/>
    <mergeCell ref="O157:O159"/>
    <mergeCell ref="Y157:Y159"/>
    <mergeCell ref="A151:A155"/>
    <mergeCell ref="B151:B155"/>
    <mergeCell ref="C151:C155"/>
    <mergeCell ref="D151:D155"/>
    <mergeCell ref="O151:O155"/>
    <mergeCell ref="Y161:Y164"/>
    <mergeCell ref="A166:A168"/>
    <mergeCell ref="B166:B168"/>
    <mergeCell ref="C166:C168"/>
    <mergeCell ref="D166:D168"/>
    <mergeCell ref="O166:O168"/>
    <mergeCell ref="Y166:Y168"/>
    <mergeCell ref="A161:A164"/>
    <mergeCell ref="B161:B164"/>
    <mergeCell ref="C161:C164"/>
    <mergeCell ref="D161:D164"/>
    <mergeCell ref="O161:O164"/>
    <mergeCell ref="Y169:Y174"/>
    <mergeCell ref="A176:A177"/>
    <mergeCell ref="B176:B177"/>
    <mergeCell ref="C176:C177"/>
    <mergeCell ref="D176:D177"/>
    <mergeCell ref="O176:O177"/>
    <mergeCell ref="Y176:Y177"/>
    <mergeCell ref="A169:A174"/>
    <mergeCell ref="B169:B174"/>
    <mergeCell ref="C169:C174"/>
    <mergeCell ref="D169:D174"/>
    <mergeCell ref="O169:O174"/>
    <mergeCell ref="Y180:Y186"/>
    <mergeCell ref="A187:A188"/>
    <mergeCell ref="B187:B188"/>
    <mergeCell ref="C187:C188"/>
    <mergeCell ref="D187:D188"/>
    <mergeCell ref="O187:O188"/>
    <mergeCell ref="Y187:Y188"/>
    <mergeCell ref="A180:A186"/>
    <mergeCell ref="B180:B186"/>
    <mergeCell ref="C180:C186"/>
    <mergeCell ref="D180:D186"/>
    <mergeCell ref="O180:O186"/>
    <mergeCell ref="Y190:Y193"/>
    <mergeCell ref="A195:A199"/>
    <mergeCell ref="B195:B199"/>
    <mergeCell ref="C195:C199"/>
    <mergeCell ref="D195:D199"/>
    <mergeCell ref="O195:O199"/>
    <mergeCell ref="Y195:Y199"/>
    <mergeCell ref="G196:G198"/>
    <mergeCell ref="H196:H198"/>
    <mergeCell ref="A190:A193"/>
    <mergeCell ref="B190:B193"/>
    <mergeCell ref="C190:C193"/>
    <mergeCell ref="D190:D193"/>
    <mergeCell ref="O190:O193"/>
    <mergeCell ref="Y214:Y221"/>
    <mergeCell ref="A214:A221"/>
    <mergeCell ref="B214:B221"/>
    <mergeCell ref="C214:C221"/>
    <mergeCell ref="D214:D221"/>
    <mergeCell ref="O214:O221"/>
    <mergeCell ref="Y201:Y206"/>
    <mergeCell ref="A208:A209"/>
    <mergeCell ref="B208:B209"/>
    <mergeCell ref="C208:C209"/>
    <mergeCell ref="D208:D209"/>
    <mergeCell ref="O208:O209"/>
    <mergeCell ref="Y208:Y209"/>
    <mergeCell ref="A201:A206"/>
    <mergeCell ref="B201:B206"/>
    <mergeCell ref="C201:C206"/>
    <mergeCell ref="D201:D206"/>
    <mergeCell ref="O201:O206"/>
  </mergeCells>
  <dataValidations count="1">
    <dataValidation type="decimal" operator="greaterThanOrEqual" allowBlank="1" showErrorMessage="1" sqref="K17:K23 K29 I30:I32 H87 K84:K91 K61:K73 K82 K102:K108 K113:K114 K125:K128 K134 L180 L187 K176:K179 P180 P187" xr:uid="{8AA0EADC-B5AE-4A3B-AB72-4E6E810B373D}">
      <formula1>-1000000000000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225"/>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ht="25.5" customHeight="1">
      <c r="A2" s="3018"/>
      <c r="B2" s="3019"/>
      <c r="C2" s="3019"/>
      <c r="D2" s="3019"/>
      <c r="E2" s="3019"/>
      <c r="F2" s="3019"/>
      <c r="G2" s="3019"/>
      <c r="H2" s="3019"/>
      <c r="I2" s="3019"/>
      <c r="J2" s="3019"/>
      <c r="K2" s="3019"/>
      <c r="L2" s="3019"/>
      <c r="M2" s="3019"/>
      <c r="N2" s="3019"/>
      <c r="O2" s="3019"/>
      <c r="P2" s="3019"/>
      <c r="Q2" s="3019"/>
      <c r="R2" s="3019"/>
      <c r="S2" s="3019"/>
      <c r="T2" s="3019"/>
      <c r="U2" s="3019"/>
      <c r="V2" s="3019"/>
      <c r="W2" s="3019"/>
      <c r="X2" s="3019"/>
      <c r="Y2" s="3020"/>
    </row>
    <row r="3" spans="1:25" s="27" customFormat="1" ht="24.9" customHeight="1">
      <c r="A3" s="3021" t="s">
        <v>87</v>
      </c>
      <c r="B3" s="3021"/>
      <c r="C3" s="3021" t="s">
        <v>95</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3">
        <v>2024</v>
      </c>
    </row>
    <row r="4" spans="1:25" ht="25.5" customHeight="1">
      <c r="A4" s="3013"/>
      <c r="B4" s="3013"/>
      <c r="C4" s="3013"/>
      <c r="D4" s="3013"/>
      <c r="E4" s="3013"/>
      <c r="F4" s="3013"/>
      <c r="G4" s="3013"/>
      <c r="H4" s="3013"/>
      <c r="I4" s="3013"/>
      <c r="J4" s="3013"/>
      <c r="K4" s="3013"/>
      <c r="L4" s="3013"/>
      <c r="M4" s="3013"/>
      <c r="N4" s="3013"/>
      <c r="O4" s="3013"/>
      <c r="P4" s="3013"/>
      <c r="Q4" s="3013"/>
      <c r="R4" s="3013"/>
      <c r="S4" s="3013"/>
      <c r="T4" s="3013"/>
      <c r="U4" s="3013"/>
      <c r="V4" s="3013"/>
      <c r="W4" s="3013"/>
      <c r="X4" s="3013"/>
      <c r="Y4" s="3013"/>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7" t="s">
        <v>12</v>
      </c>
      <c r="O5" s="2867" t="s">
        <v>86</v>
      </c>
      <c r="P5" s="2871" t="s">
        <v>1</v>
      </c>
      <c r="Q5" s="2867" t="s">
        <v>13</v>
      </c>
      <c r="R5" s="2867" t="s">
        <v>14</v>
      </c>
      <c r="S5" s="2867" t="s">
        <v>16</v>
      </c>
      <c r="T5" s="2867" t="s">
        <v>15</v>
      </c>
      <c r="U5" s="2867" t="s">
        <v>103</v>
      </c>
      <c r="V5" s="2871" t="s">
        <v>6</v>
      </c>
      <c r="W5" s="2871" t="s">
        <v>7</v>
      </c>
      <c r="X5" s="2867" t="s">
        <v>0</v>
      </c>
      <c r="Y5" s="2867" t="s">
        <v>90</v>
      </c>
    </row>
    <row r="6" spans="1:25" ht="42.75" customHeight="1">
      <c r="A6" s="3065"/>
      <c r="B6" s="3065"/>
      <c r="C6" s="3065"/>
      <c r="D6" s="3065"/>
      <c r="E6" s="3065"/>
      <c r="F6" s="3065"/>
      <c r="G6" s="3065"/>
      <c r="H6" s="3065"/>
      <c r="I6" s="3065"/>
      <c r="J6" s="3065"/>
      <c r="K6" s="3065"/>
      <c r="L6" s="3065"/>
      <c r="M6" s="2908"/>
      <c r="N6" s="2908"/>
      <c r="O6" s="2908"/>
      <c r="P6" s="3064"/>
      <c r="Q6" s="2908"/>
      <c r="R6" s="2908"/>
      <c r="S6" s="2908"/>
      <c r="T6" s="2908"/>
      <c r="U6" s="2908"/>
      <c r="V6" s="3064"/>
      <c r="W6" s="3064"/>
      <c r="X6" s="2908"/>
      <c r="Y6" s="2908"/>
    </row>
    <row r="7" spans="1:25" ht="15.6">
      <c r="A7" s="1583"/>
      <c r="B7" s="1583">
        <v>51</v>
      </c>
      <c r="C7" s="1583" t="s">
        <v>114</v>
      </c>
      <c r="D7" s="1584" t="s">
        <v>148</v>
      </c>
      <c r="E7" s="1585"/>
      <c r="F7" s="1586"/>
      <c r="G7" s="1587"/>
      <c r="H7" s="1586"/>
      <c r="I7" s="1587"/>
      <c r="J7" s="1587"/>
      <c r="K7" s="1586"/>
      <c r="L7" s="1586"/>
      <c r="M7" s="1588"/>
      <c r="N7" s="1589"/>
      <c r="O7" s="1589"/>
      <c r="P7" s="1590"/>
      <c r="Q7" s="1583"/>
      <c r="R7" s="1583"/>
      <c r="S7" s="1583"/>
      <c r="T7" s="1583"/>
      <c r="U7" s="1583"/>
      <c r="V7" s="1585"/>
      <c r="W7" s="1585"/>
      <c r="X7" s="1587"/>
      <c r="Y7" s="1591"/>
    </row>
    <row r="8" spans="1:25" ht="15.6">
      <c r="A8" s="1592"/>
      <c r="B8" s="1592">
        <v>5104</v>
      </c>
      <c r="C8" s="1592" t="s">
        <v>115</v>
      </c>
      <c r="D8" s="1593" t="s">
        <v>2263</v>
      </c>
      <c r="E8" s="1594"/>
      <c r="F8" s="1595"/>
      <c r="G8" s="1596"/>
      <c r="H8" s="1595"/>
      <c r="I8" s="1596"/>
      <c r="J8" s="1597"/>
      <c r="K8" s="1595"/>
      <c r="L8" s="1598"/>
      <c r="M8" s="1599"/>
      <c r="N8" s="1600"/>
      <c r="O8" s="1600"/>
      <c r="P8" s="1601"/>
      <c r="Q8" s="1592"/>
      <c r="R8" s="1592"/>
      <c r="S8" s="1592"/>
      <c r="T8" s="1592"/>
      <c r="U8" s="1592"/>
      <c r="V8" s="1594"/>
      <c r="W8" s="1594"/>
      <c r="X8" s="1596"/>
      <c r="Y8" s="1602"/>
    </row>
    <row r="9" spans="1:25">
      <c r="A9" s="1603"/>
      <c r="B9" s="1603">
        <v>5104001</v>
      </c>
      <c r="C9" s="1603" t="s">
        <v>116</v>
      </c>
      <c r="D9" s="1604" t="s">
        <v>2264</v>
      </c>
      <c r="E9" s="1605"/>
      <c r="F9" s="1606"/>
      <c r="G9" s="1607"/>
      <c r="H9" s="1608"/>
      <c r="I9" s="1607"/>
      <c r="J9" s="1609"/>
      <c r="K9" s="1610"/>
      <c r="L9" s="1610"/>
      <c r="M9" s="1611"/>
      <c r="N9" s="1612"/>
      <c r="O9" s="1612"/>
      <c r="P9" s="1613"/>
      <c r="Q9" s="1603"/>
      <c r="R9" s="1603"/>
      <c r="S9" s="1603"/>
      <c r="T9" s="1603"/>
      <c r="U9" s="1603"/>
      <c r="V9" s="1605"/>
      <c r="W9" s="1605"/>
      <c r="X9" s="1609"/>
      <c r="Y9" s="1614"/>
    </row>
    <row r="10" spans="1:25" ht="41.4">
      <c r="A10" s="1615"/>
      <c r="B10" s="1616">
        <v>51040010003</v>
      </c>
      <c r="C10" s="1616" t="s">
        <v>117</v>
      </c>
      <c r="D10" s="1617" t="s">
        <v>2265</v>
      </c>
      <c r="E10" s="1618"/>
      <c r="F10" s="1619"/>
      <c r="G10" s="1620"/>
      <c r="H10" s="1621"/>
      <c r="I10" s="1620"/>
      <c r="J10" s="1622"/>
      <c r="K10" s="1623"/>
      <c r="L10" s="1623"/>
      <c r="M10" s="1624"/>
      <c r="N10" s="1625"/>
      <c r="O10" s="1625"/>
      <c r="P10" s="1626"/>
      <c r="Q10" s="1615"/>
      <c r="R10" s="1615"/>
      <c r="S10" s="1615"/>
      <c r="T10" s="1627"/>
      <c r="U10" s="1627"/>
      <c r="V10" s="1618"/>
      <c r="W10" s="1618"/>
      <c r="X10" s="1622"/>
      <c r="Y10" s="1628"/>
    </row>
    <row r="11" spans="1:25">
      <c r="A11" s="3147">
        <v>4146</v>
      </c>
      <c r="B11" s="3148"/>
      <c r="C11" s="3148" t="s">
        <v>123</v>
      </c>
      <c r="D11" s="3149" t="s">
        <v>2266</v>
      </c>
      <c r="E11" s="1618" t="s">
        <v>2267</v>
      </c>
      <c r="F11" s="1619"/>
      <c r="G11" s="1620"/>
      <c r="H11" s="1619"/>
      <c r="I11" s="1620"/>
      <c r="J11" s="1629"/>
      <c r="K11" s="1630">
        <v>16</v>
      </c>
      <c r="L11" s="1631">
        <v>1</v>
      </c>
      <c r="M11" s="1632"/>
      <c r="N11" s="1631">
        <f>+N12+N13</f>
        <v>0.22999999999999998</v>
      </c>
      <c r="O11" s="3150">
        <f>IF(Q11&gt;0,N11,"na")</f>
        <v>0.22999999999999998</v>
      </c>
      <c r="P11" s="1633">
        <f>+P13+P12</f>
        <v>362930400</v>
      </c>
      <c r="Q11" s="1633">
        <f>+Q13+Q12</f>
        <v>362930400</v>
      </c>
      <c r="R11" s="1633">
        <f>+R13+R12</f>
        <v>60130000</v>
      </c>
      <c r="S11" s="1633">
        <f>+S13+S12</f>
        <v>2219000</v>
      </c>
      <c r="T11" s="1631">
        <f t="shared" ref="T11:U13" si="0">IF(Q11=0,0,R11/Q11)</f>
        <v>0.16567914950084092</v>
      </c>
      <c r="U11" s="1631">
        <f t="shared" si="0"/>
        <v>3.690337601862631E-2</v>
      </c>
      <c r="V11" s="1634"/>
      <c r="W11" s="1634"/>
      <c r="X11" s="1635"/>
      <c r="Y11" s="3131" t="s">
        <v>2268</v>
      </c>
    </row>
    <row r="12" spans="1:25" ht="184.8">
      <c r="A12" s="3132"/>
      <c r="B12" s="3132"/>
      <c r="C12" s="3132"/>
      <c r="D12" s="3135"/>
      <c r="E12" s="1618" t="s">
        <v>2269</v>
      </c>
      <c r="F12" s="1619"/>
      <c r="G12" s="1636" t="s">
        <v>2265</v>
      </c>
      <c r="H12" s="1621"/>
      <c r="I12" s="1629" t="s">
        <v>2270</v>
      </c>
      <c r="J12" s="1629" t="s">
        <v>2271</v>
      </c>
      <c r="K12" s="1633">
        <v>16</v>
      </c>
      <c r="L12" s="1631">
        <v>0.55000000000000004</v>
      </c>
      <c r="M12" s="1632">
        <v>8</v>
      </c>
      <c r="N12" s="1631">
        <v>0.12</v>
      </c>
      <c r="O12" s="3148"/>
      <c r="P12" s="1633">
        <v>187185600</v>
      </c>
      <c r="Q12" s="1633">
        <v>187185600</v>
      </c>
      <c r="R12" s="1633">
        <v>26845000</v>
      </c>
      <c r="S12" s="1633">
        <v>0</v>
      </c>
      <c r="T12" s="1631">
        <f>IF(Q12=0,0,R12/Q12)</f>
        <v>0.14341380960928618</v>
      </c>
      <c r="U12" s="1631">
        <f>IF(R12=0,0,S12/R12)</f>
        <v>0</v>
      </c>
      <c r="V12" s="1634">
        <v>45357</v>
      </c>
      <c r="W12" s="1634">
        <v>45657</v>
      </c>
      <c r="X12" s="1637" t="s">
        <v>2272</v>
      </c>
      <c r="Y12" s="3138"/>
    </row>
    <row r="13" spans="1:25" ht="52.8">
      <c r="A13" s="3132"/>
      <c r="B13" s="3132"/>
      <c r="C13" s="3132"/>
      <c r="D13" s="3135"/>
      <c r="E13" s="1618" t="s">
        <v>2273</v>
      </c>
      <c r="F13" s="1619"/>
      <c r="G13" s="1636"/>
      <c r="H13" s="1621"/>
      <c r="I13" s="1636" t="s">
        <v>2274</v>
      </c>
      <c r="J13" s="1629" t="s">
        <v>120</v>
      </c>
      <c r="K13" s="1632">
        <v>200</v>
      </c>
      <c r="L13" s="1631">
        <v>0.45</v>
      </c>
      <c r="M13" s="1632">
        <v>50</v>
      </c>
      <c r="N13" s="1631">
        <v>0.11</v>
      </c>
      <c r="O13" s="3148"/>
      <c r="P13" s="1633">
        <v>175744800</v>
      </c>
      <c r="Q13" s="1633">
        <v>175744800</v>
      </c>
      <c r="R13" s="1633">
        <v>33285000</v>
      </c>
      <c r="S13" s="1633">
        <v>2219000</v>
      </c>
      <c r="T13" s="1631">
        <f t="shared" si="0"/>
        <v>0.18939393939393939</v>
      </c>
      <c r="U13" s="1631">
        <f>IF(R13=0,0,S13/R13)</f>
        <v>6.6666666666666666E-2</v>
      </c>
      <c r="V13" s="1634">
        <v>45336</v>
      </c>
      <c r="W13" s="1634">
        <v>45657</v>
      </c>
      <c r="X13" s="1637" t="s">
        <v>2275</v>
      </c>
      <c r="Y13" s="3138"/>
    </row>
    <row r="14" spans="1:25" ht="15.6">
      <c r="A14" s="1639"/>
      <c r="B14" s="1640">
        <v>52</v>
      </c>
      <c r="C14" s="1640" t="s">
        <v>114</v>
      </c>
      <c r="D14" s="1641" t="s">
        <v>162</v>
      </c>
      <c r="E14" s="1639"/>
      <c r="F14" s="1640"/>
      <c r="G14" s="1642"/>
      <c r="H14" s="1640"/>
      <c r="I14" s="1642"/>
      <c r="J14" s="1643"/>
      <c r="K14" s="1644"/>
      <c r="L14" s="1645"/>
      <c r="M14" s="1644"/>
      <c r="N14" s="1645"/>
      <c r="O14" s="1646"/>
      <c r="P14" s="1644"/>
      <c r="Q14" s="1644"/>
      <c r="R14" s="1644"/>
      <c r="S14" s="1644"/>
      <c r="T14" s="1645"/>
      <c r="U14" s="1645"/>
      <c r="V14" s="1639"/>
      <c r="W14" s="1639"/>
      <c r="X14" s="1647"/>
      <c r="Y14" s="1602"/>
    </row>
    <row r="15" spans="1:25" ht="15.6">
      <c r="A15" s="1640"/>
      <c r="B15" s="1640">
        <v>5201</v>
      </c>
      <c r="C15" s="1640" t="s">
        <v>115</v>
      </c>
      <c r="D15" s="1643" t="s">
        <v>1358</v>
      </c>
      <c r="E15" s="1639"/>
      <c r="F15" s="1640"/>
      <c r="G15" s="1643"/>
      <c r="H15" s="1640"/>
      <c r="I15" s="1642"/>
      <c r="J15" s="1643"/>
      <c r="K15" s="1644"/>
      <c r="L15" s="1645"/>
      <c r="M15" s="1644"/>
      <c r="N15" s="1645"/>
      <c r="O15" s="1646"/>
      <c r="P15" s="1644"/>
      <c r="Q15" s="1644"/>
      <c r="R15" s="1644"/>
      <c r="S15" s="1644"/>
      <c r="T15" s="1645"/>
      <c r="U15" s="1645"/>
      <c r="V15" s="1648"/>
      <c r="W15" s="1648"/>
      <c r="X15" s="1647"/>
      <c r="Y15" s="1639"/>
    </row>
    <row r="16" spans="1:25">
      <c r="A16" s="1606"/>
      <c r="B16" s="1606">
        <v>5201002</v>
      </c>
      <c r="C16" s="1606" t="s">
        <v>116</v>
      </c>
      <c r="D16" s="1649" t="s">
        <v>1370</v>
      </c>
      <c r="E16" s="1608"/>
      <c r="F16" s="1606"/>
      <c r="G16" s="1649"/>
      <c r="H16" s="1606"/>
      <c r="I16" s="1607"/>
      <c r="J16" s="1649"/>
      <c r="K16" s="1650"/>
      <c r="L16" s="1645"/>
      <c r="M16" s="1650"/>
      <c r="N16" s="1645"/>
      <c r="O16" s="1651"/>
      <c r="P16" s="1644"/>
      <c r="Q16" s="1644"/>
      <c r="R16" s="1644"/>
      <c r="S16" s="1644"/>
      <c r="T16" s="1645"/>
      <c r="U16" s="1645"/>
      <c r="V16" s="1652"/>
      <c r="W16" s="1652"/>
      <c r="X16" s="1653"/>
      <c r="Y16" s="1608"/>
    </row>
    <row r="17" spans="1:25" ht="55.2">
      <c r="A17" s="1619"/>
      <c r="B17" s="1619">
        <v>52010020008</v>
      </c>
      <c r="C17" s="1619" t="s">
        <v>117</v>
      </c>
      <c r="D17" s="1654" t="s">
        <v>2276</v>
      </c>
      <c r="E17" s="1621"/>
      <c r="F17" s="1619"/>
      <c r="G17" s="1636"/>
      <c r="H17" s="1619"/>
      <c r="I17" s="1636"/>
      <c r="J17" s="1636"/>
      <c r="K17" s="1644"/>
      <c r="L17" s="1645"/>
      <c r="M17" s="1655"/>
      <c r="N17" s="1645"/>
      <c r="O17" s="1656"/>
      <c r="P17" s="1644"/>
      <c r="Q17" s="1644"/>
      <c r="R17" s="1644"/>
      <c r="S17" s="1644"/>
      <c r="T17" s="1657"/>
      <c r="U17" s="1657"/>
      <c r="V17" s="1658"/>
      <c r="W17" s="1658"/>
      <c r="X17" s="1637"/>
      <c r="Y17" s="1659"/>
    </row>
    <row r="18" spans="1:25">
      <c r="A18" s="3132">
        <v>4146</v>
      </c>
      <c r="B18" s="3132"/>
      <c r="C18" s="3132" t="s">
        <v>123</v>
      </c>
      <c r="D18" s="3134" t="s">
        <v>2277</v>
      </c>
      <c r="E18" s="1660" t="s">
        <v>2278</v>
      </c>
      <c r="F18" s="1619"/>
      <c r="G18" s="1636"/>
      <c r="H18" s="1619"/>
      <c r="I18" s="1636"/>
      <c r="J18" s="1636"/>
      <c r="K18" s="1633">
        <v>1</v>
      </c>
      <c r="L18" s="1657">
        <v>1</v>
      </c>
      <c r="M18" s="1633"/>
      <c r="N18" s="1631">
        <f>+N19</f>
        <v>7.0000000000000007E-2</v>
      </c>
      <c r="O18" s="3137">
        <f>IF(Q18&gt;0,N18,"na")</f>
        <v>7.0000000000000007E-2</v>
      </c>
      <c r="P18" s="1633">
        <f>+P19</f>
        <v>150000000</v>
      </c>
      <c r="Q18" s="1633">
        <f t="shared" ref="Q18:R18" si="1">+Q19</f>
        <v>150000000</v>
      </c>
      <c r="R18" s="1633">
        <f t="shared" si="1"/>
        <v>58431000</v>
      </c>
      <c r="S18" s="1633">
        <f>+S19</f>
        <v>20270000</v>
      </c>
      <c r="T18" s="1657">
        <f t="shared" ref="T18:U19" si="2">IF(Q18=0,0,R18/Q18)</f>
        <v>0.38954</v>
      </c>
      <c r="U18" s="1657">
        <f t="shared" si="2"/>
        <v>0.34690489637350036</v>
      </c>
      <c r="V18" s="1661"/>
      <c r="W18" s="1661"/>
      <c r="X18" s="1637"/>
      <c r="Y18" s="3146" t="s">
        <v>2279</v>
      </c>
    </row>
    <row r="19" spans="1:25" ht="237.6">
      <c r="A19" s="3132"/>
      <c r="B19" s="3132"/>
      <c r="C19" s="3132"/>
      <c r="D19" s="3135"/>
      <c r="E19" s="1660" t="s">
        <v>2280</v>
      </c>
      <c r="F19" s="1619"/>
      <c r="G19" s="1636" t="s">
        <v>2276</v>
      </c>
      <c r="H19" s="1619"/>
      <c r="I19" s="1636" t="s">
        <v>2281</v>
      </c>
      <c r="J19" s="1636" t="s">
        <v>2282</v>
      </c>
      <c r="K19" s="1655">
        <v>715</v>
      </c>
      <c r="L19" s="1631">
        <v>1</v>
      </c>
      <c r="M19" s="1632">
        <v>0</v>
      </c>
      <c r="N19" s="1631">
        <v>7.0000000000000007E-2</v>
      </c>
      <c r="O19" s="3132"/>
      <c r="P19" s="1633">
        <v>150000000</v>
      </c>
      <c r="Q19" s="1633">
        <v>150000000</v>
      </c>
      <c r="R19" s="1633">
        <v>58431000</v>
      </c>
      <c r="S19" s="1633">
        <v>20270000</v>
      </c>
      <c r="T19" s="1657">
        <f>IF(Q19=0,0,R19/Q19)</f>
        <v>0.38954</v>
      </c>
      <c r="U19" s="1657">
        <f t="shared" si="2"/>
        <v>0.34690489637350036</v>
      </c>
      <c r="V19" s="1658">
        <v>45329</v>
      </c>
      <c r="W19" s="1658">
        <v>45657</v>
      </c>
      <c r="X19" s="1637" t="s">
        <v>2283</v>
      </c>
      <c r="Y19" s="3138"/>
    </row>
    <row r="20" spans="1:25">
      <c r="A20" s="1606"/>
      <c r="B20" s="1606">
        <v>5201005</v>
      </c>
      <c r="C20" s="1606" t="s">
        <v>116</v>
      </c>
      <c r="D20" s="1649" t="s">
        <v>1731</v>
      </c>
      <c r="E20" s="1608"/>
      <c r="F20" s="1606"/>
      <c r="G20" s="1649"/>
      <c r="H20" s="1606"/>
      <c r="I20" s="1607"/>
      <c r="J20" s="1649"/>
      <c r="K20" s="1650"/>
      <c r="L20" s="1645"/>
      <c r="M20" s="1650"/>
      <c r="N20" s="1645"/>
      <c r="O20" s="1651"/>
      <c r="P20" s="1644"/>
      <c r="Q20" s="1644"/>
      <c r="R20" s="1644"/>
      <c r="S20" s="1644"/>
      <c r="T20" s="1645"/>
      <c r="U20" s="1645"/>
      <c r="V20" s="1652"/>
      <c r="W20" s="1652"/>
      <c r="X20" s="1653"/>
      <c r="Y20" s="1608"/>
    </row>
    <row r="21" spans="1:25">
      <c r="A21" s="1619"/>
      <c r="B21" s="1662">
        <v>52010050001</v>
      </c>
      <c r="C21" s="1662" t="s">
        <v>117</v>
      </c>
      <c r="D21" s="1654" t="s">
        <v>2284</v>
      </c>
      <c r="E21" s="1621"/>
      <c r="F21" s="1663"/>
      <c r="G21" s="1636"/>
      <c r="H21" s="1663"/>
      <c r="I21" s="1620"/>
      <c r="J21" s="1636"/>
      <c r="K21" s="1655"/>
      <c r="L21" s="1645"/>
      <c r="M21" s="1655"/>
      <c r="N21" s="1645"/>
      <c r="O21" s="1656"/>
      <c r="P21" s="1655"/>
      <c r="Q21" s="1644"/>
      <c r="R21" s="1644"/>
      <c r="S21" s="1644"/>
      <c r="T21" s="1657"/>
      <c r="U21" s="1657"/>
      <c r="V21" s="1621"/>
      <c r="W21" s="1621"/>
      <c r="X21" s="1637"/>
      <c r="Y21" s="1664"/>
    </row>
    <row r="22" spans="1:25">
      <c r="A22" s="3132">
        <v>4146</v>
      </c>
      <c r="B22" s="3132"/>
      <c r="C22" s="3132" t="s">
        <v>123</v>
      </c>
      <c r="D22" s="3134" t="s">
        <v>2285</v>
      </c>
      <c r="E22" s="1621" t="s">
        <v>2286</v>
      </c>
      <c r="F22" s="1621"/>
      <c r="G22" s="1636"/>
      <c r="H22" s="1619"/>
      <c r="I22" s="1620"/>
      <c r="J22" s="1636"/>
      <c r="K22" s="1655">
        <v>50</v>
      </c>
      <c r="L22" s="1631">
        <v>1</v>
      </c>
      <c r="M22" s="1655"/>
      <c r="N22" s="1631">
        <f>N23+N24</f>
        <v>0</v>
      </c>
      <c r="O22" s="3137">
        <f>IF(Q22&gt;0,N22,"na")</f>
        <v>0</v>
      </c>
      <c r="P22" s="1633">
        <f>P23+P24</f>
        <v>78832000</v>
      </c>
      <c r="Q22" s="1633">
        <f t="shared" ref="Q22:S22" si="3">Q23+Q24</f>
        <v>78832000</v>
      </c>
      <c r="R22" s="1633">
        <f t="shared" si="3"/>
        <v>0</v>
      </c>
      <c r="S22" s="1633">
        <f t="shared" si="3"/>
        <v>0</v>
      </c>
      <c r="T22" s="1657">
        <f>IF(Q22=0,0,R22/Q22)</f>
        <v>0</v>
      </c>
      <c r="U22" s="1657">
        <f t="shared" ref="T22:U24" si="4">IF(R22=0,0,S22/R22)</f>
        <v>0</v>
      </c>
      <c r="V22" s="1658"/>
      <c r="W22" s="1658"/>
      <c r="X22" s="1637"/>
      <c r="Y22" s="3131" t="s">
        <v>2287</v>
      </c>
    </row>
    <row r="23" spans="1:25" ht="52.8">
      <c r="A23" s="3132"/>
      <c r="B23" s="3132"/>
      <c r="C23" s="3132"/>
      <c r="D23" s="3134"/>
      <c r="E23" s="1621" t="s">
        <v>2288</v>
      </c>
      <c r="F23" s="1621"/>
      <c r="G23" s="1636"/>
      <c r="H23" s="1619"/>
      <c r="I23" s="1636" t="s">
        <v>2289</v>
      </c>
      <c r="J23" s="1636" t="s">
        <v>2290</v>
      </c>
      <c r="K23" s="1655">
        <v>1</v>
      </c>
      <c r="L23" s="1631">
        <v>0.1</v>
      </c>
      <c r="M23" s="1655">
        <v>0</v>
      </c>
      <c r="N23" s="1631">
        <v>0</v>
      </c>
      <c r="O23" s="3137"/>
      <c r="P23" s="1633">
        <v>4279200</v>
      </c>
      <c r="Q23" s="1633">
        <v>4279200</v>
      </c>
      <c r="R23" s="1633">
        <v>0</v>
      </c>
      <c r="S23" s="1633">
        <v>0</v>
      </c>
      <c r="T23" s="1657">
        <f t="shared" ref="T23" si="5">IF(Q23=0,0,R23/Q23)</f>
        <v>0</v>
      </c>
      <c r="U23" s="1657">
        <f t="shared" si="4"/>
        <v>0</v>
      </c>
      <c r="V23" s="1658"/>
      <c r="W23" s="1658"/>
      <c r="X23" s="1637"/>
      <c r="Y23" s="3131"/>
    </row>
    <row r="24" spans="1:25" ht="79.2">
      <c r="A24" s="3132"/>
      <c r="B24" s="3132"/>
      <c r="C24" s="3132"/>
      <c r="D24" s="3135"/>
      <c r="E24" s="1621" t="s">
        <v>2291</v>
      </c>
      <c r="F24" s="1619"/>
      <c r="G24" s="1636" t="s">
        <v>2284</v>
      </c>
      <c r="H24" s="1663"/>
      <c r="I24" s="1636" t="s">
        <v>2292</v>
      </c>
      <c r="J24" s="1636" t="s">
        <v>2293</v>
      </c>
      <c r="K24" s="1655">
        <v>50</v>
      </c>
      <c r="L24" s="1631">
        <v>0.9</v>
      </c>
      <c r="M24" s="1632">
        <v>0</v>
      </c>
      <c r="N24" s="1631">
        <v>0</v>
      </c>
      <c r="O24" s="3132"/>
      <c r="P24" s="1633">
        <v>74552800</v>
      </c>
      <c r="Q24" s="1633">
        <v>74552800</v>
      </c>
      <c r="R24" s="1633">
        <v>0</v>
      </c>
      <c r="S24" s="1633">
        <v>0</v>
      </c>
      <c r="T24" s="1657">
        <f t="shared" si="4"/>
        <v>0</v>
      </c>
      <c r="U24" s="1657">
        <f t="shared" si="4"/>
        <v>0</v>
      </c>
      <c r="V24" s="1658"/>
      <c r="W24" s="1658"/>
      <c r="X24" s="1637"/>
      <c r="Y24" s="3138"/>
    </row>
    <row r="25" spans="1:25" ht="27.6">
      <c r="A25" s="1619"/>
      <c r="B25" s="1662">
        <v>52010050002</v>
      </c>
      <c r="C25" s="1619" t="s">
        <v>117</v>
      </c>
      <c r="D25" s="1654" t="s">
        <v>2294</v>
      </c>
      <c r="E25" s="1621"/>
      <c r="F25" s="1663"/>
      <c r="G25" s="1636"/>
      <c r="H25" s="1663"/>
      <c r="I25" s="1636"/>
      <c r="J25" s="1636"/>
      <c r="K25" s="1655"/>
      <c r="L25" s="1645"/>
      <c r="M25" s="1655"/>
      <c r="N25" s="1645"/>
      <c r="O25" s="1656"/>
      <c r="P25" s="1655"/>
      <c r="Q25" s="1644"/>
      <c r="R25" s="1644"/>
      <c r="S25" s="1644"/>
      <c r="T25" s="1657"/>
      <c r="U25" s="1657"/>
      <c r="V25" s="1621"/>
      <c r="W25" s="1621"/>
      <c r="X25" s="1637"/>
      <c r="Y25" s="1664"/>
    </row>
    <row r="26" spans="1:25">
      <c r="A26" s="3132">
        <v>4146</v>
      </c>
      <c r="B26" s="3132"/>
      <c r="C26" s="3132" t="s">
        <v>123</v>
      </c>
      <c r="D26" s="3134" t="s">
        <v>2295</v>
      </c>
      <c r="E26" s="1621" t="s">
        <v>2296</v>
      </c>
      <c r="F26" s="1619"/>
      <c r="G26" s="1636"/>
      <c r="H26" s="1619"/>
      <c r="I26" s="1636"/>
      <c r="J26" s="1636"/>
      <c r="K26" s="1655">
        <v>10</v>
      </c>
      <c r="L26" s="1631">
        <v>1</v>
      </c>
      <c r="M26" s="1655"/>
      <c r="N26" s="1631">
        <f>N27+N28</f>
        <v>0</v>
      </c>
      <c r="O26" s="3137">
        <f>IF(Q26&gt;0,N26,"na")</f>
        <v>0</v>
      </c>
      <c r="P26" s="1633">
        <f>P27+P28</f>
        <v>61500000</v>
      </c>
      <c r="Q26" s="1633">
        <f t="shared" ref="Q26:S26" si="6">Q27+Q28</f>
        <v>61500000</v>
      </c>
      <c r="R26" s="1633">
        <f t="shared" si="6"/>
        <v>0</v>
      </c>
      <c r="S26" s="1633">
        <f t="shared" si="6"/>
        <v>0</v>
      </c>
      <c r="T26" s="1657">
        <f t="shared" ref="T26:U28" si="7">IF(Q26=0,0,R26/Q26)</f>
        <v>0</v>
      </c>
      <c r="U26" s="1657">
        <f t="shared" si="7"/>
        <v>0</v>
      </c>
      <c r="V26" s="1658"/>
      <c r="W26" s="1658"/>
      <c r="X26" s="1637"/>
      <c r="Y26" s="3131" t="s">
        <v>2287</v>
      </c>
    </row>
    <row r="27" spans="1:25" ht="39.6">
      <c r="A27" s="3132"/>
      <c r="B27" s="3132"/>
      <c r="C27" s="3132"/>
      <c r="D27" s="3134"/>
      <c r="E27" s="1621" t="s">
        <v>2297</v>
      </c>
      <c r="F27" s="1619"/>
      <c r="G27" s="1636"/>
      <c r="H27" s="1619"/>
      <c r="I27" s="1636" t="s">
        <v>2298</v>
      </c>
      <c r="J27" s="1636" t="s">
        <v>2299</v>
      </c>
      <c r="K27" s="1655">
        <v>100</v>
      </c>
      <c r="L27" s="1631">
        <v>0.55000000000000004</v>
      </c>
      <c r="M27" s="1655">
        <v>0</v>
      </c>
      <c r="N27" s="1631">
        <v>0</v>
      </c>
      <c r="O27" s="3137"/>
      <c r="P27" s="1633">
        <v>40000000</v>
      </c>
      <c r="Q27" s="1633">
        <v>40000000</v>
      </c>
      <c r="R27" s="1633">
        <v>0</v>
      </c>
      <c r="S27" s="1633">
        <v>0</v>
      </c>
      <c r="T27" s="1657">
        <f t="shared" si="7"/>
        <v>0</v>
      </c>
      <c r="U27" s="1657">
        <f t="shared" si="7"/>
        <v>0</v>
      </c>
      <c r="V27" s="1658"/>
      <c r="W27" s="1658"/>
      <c r="X27" s="1637"/>
      <c r="Y27" s="3131"/>
    </row>
    <row r="28" spans="1:25" ht="118.8">
      <c r="A28" s="3132"/>
      <c r="B28" s="3132"/>
      <c r="C28" s="3132"/>
      <c r="D28" s="3135"/>
      <c r="E28" s="1621" t="s">
        <v>2300</v>
      </c>
      <c r="F28" s="1619"/>
      <c r="G28" s="1636" t="s">
        <v>2294</v>
      </c>
      <c r="H28" s="1663"/>
      <c r="I28" s="1636" t="s">
        <v>2301</v>
      </c>
      <c r="J28" s="1636" t="s">
        <v>2293</v>
      </c>
      <c r="K28" s="1655">
        <v>10</v>
      </c>
      <c r="L28" s="1631">
        <v>0.45</v>
      </c>
      <c r="M28" s="1632">
        <v>0</v>
      </c>
      <c r="N28" s="1631">
        <v>0</v>
      </c>
      <c r="O28" s="3132"/>
      <c r="P28" s="1633">
        <v>21500000</v>
      </c>
      <c r="Q28" s="1633">
        <v>21500000</v>
      </c>
      <c r="R28" s="1633">
        <v>0</v>
      </c>
      <c r="S28" s="1633">
        <v>0</v>
      </c>
      <c r="T28" s="1657">
        <f t="shared" si="7"/>
        <v>0</v>
      </c>
      <c r="U28" s="1657">
        <f t="shared" si="7"/>
        <v>0</v>
      </c>
      <c r="V28" s="1658"/>
      <c r="W28" s="1658"/>
      <c r="X28" s="1637"/>
      <c r="Y28" s="3138"/>
    </row>
    <row r="29" spans="1:25" ht="27.6">
      <c r="A29" s="1619"/>
      <c r="B29" s="1662">
        <v>52010050003</v>
      </c>
      <c r="C29" s="1619" t="s">
        <v>117</v>
      </c>
      <c r="D29" s="1654" t="s">
        <v>2302</v>
      </c>
      <c r="E29" s="1621"/>
      <c r="F29" s="1665"/>
      <c r="G29" s="1620"/>
      <c r="H29" s="1665"/>
      <c r="I29" s="1636"/>
      <c r="J29" s="1636"/>
      <c r="K29" s="1644"/>
      <c r="L29" s="1645"/>
      <c r="M29" s="1655"/>
      <c r="N29" s="1645"/>
      <c r="O29" s="1656"/>
      <c r="P29" s="1644"/>
      <c r="Q29" s="1644"/>
      <c r="R29" s="1644"/>
      <c r="S29" s="1644"/>
      <c r="T29" s="1657"/>
      <c r="U29" s="1657"/>
      <c r="V29" s="1619"/>
      <c r="W29" s="1619"/>
      <c r="X29" s="1637"/>
      <c r="Y29" s="1628"/>
    </row>
    <row r="30" spans="1:25">
      <c r="A30" s="3132">
        <v>4146</v>
      </c>
      <c r="B30" s="3132"/>
      <c r="C30" s="3132" t="s">
        <v>123</v>
      </c>
      <c r="D30" s="3134" t="s">
        <v>2303</v>
      </c>
      <c r="E30" s="1621" t="s">
        <v>2304</v>
      </c>
      <c r="F30" s="1666"/>
      <c r="G30" s="1636"/>
      <c r="H30" s="1619"/>
      <c r="I30" s="1636"/>
      <c r="J30" s="1636"/>
      <c r="K30" s="1633">
        <v>31000</v>
      </c>
      <c r="L30" s="1631">
        <v>1</v>
      </c>
      <c r="M30" s="1655"/>
      <c r="N30" s="1631">
        <f>+N31+N32</f>
        <v>0.24</v>
      </c>
      <c r="O30" s="3137">
        <f>IF(Q30&gt;0,N30,"na")</f>
        <v>0.24</v>
      </c>
      <c r="P30" s="1633">
        <f>+P31+P32</f>
        <v>1253444000</v>
      </c>
      <c r="Q30" s="1633">
        <f>+Q31+Q32</f>
        <v>1253444000</v>
      </c>
      <c r="R30" s="1633">
        <f>+R31+R32</f>
        <v>1022795000</v>
      </c>
      <c r="S30" s="1633">
        <f>+S31+S32</f>
        <v>491957000</v>
      </c>
      <c r="T30" s="1657">
        <f t="shared" ref="T30:U31" si="8">IF(Q30=0,0,R30/Q30)</f>
        <v>0.81598779043978031</v>
      </c>
      <c r="U30" s="1657">
        <f t="shared" si="8"/>
        <v>0.48099276981213246</v>
      </c>
      <c r="V30" s="1658"/>
      <c r="W30" s="1658"/>
      <c r="X30" s="1637"/>
      <c r="Y30" s="3131" t="s">
        <v>2287</v>
      </c>
    </row>
    <row r="31" spans="1:25" ht="105.6">
      <c r="A31" s="3132"/>
      <c r="B31" s="3132"/>
      <c r="C31" s="3132"/>
      <c r="D31" s="3135"/>
      <c r="E31" s="1621" t="s">
        <v>2305</v>
      </c>
      <c r="F31" s="1619"/>
      <c r="G31" s="1636" t="s">
        <v>2302</v>
      </c>
      <c r="H31" s="1665"/>
      <c r="I31" s="1636" t="s">
        <v>2306</v>
      </c>
      <c r="J31" s="1636" t="s">
        <v>2307</v>
      </c>
      <c r="K31" s="1667">
        <v>31000</v>
      </c>
      <c r="L31" s="1668">
        <v>0.7</v>
      </c>
      <c r="M31" s="1632">
        <v>14077</v>
      </c>
      <c r="N31" s="1631">
        <v>0.24</v>
      </c>
      <c r="O31" s="3132"/>
      <c r="P31" s="1633">
        <v>1235000000</v>
      </c>
      <c r="Q31" s="1633">
        <v>1235000000</v>
      </c>
      <c r="R31" s="1633">
        <v>1022795000</v>
      </c>
      <c r="S31" s="1633">
        <v>491957000</v>
      </c>
      <c r="T31" s="1657">
        <f>IF(Q31=0,0,R31/Q31)</f>
        <v>0.82817408906882595</v>
      </c>
      <c r="U31" s="1657">
        <f t="shared" si="8"/>
        <v>0.48099276981213246</v>
      </c>
      <c r="V31" s="1658">
        <v>45316</v>
      </c>
      <c r="W31" s="1658">
        <v>45657</v>
      </c>
      <c r="X31" s="1637" t="s">
        <v>2308</v>
      </c>
      <c r="Y31" s="3138"/>
    </row>
    <row r="32" spans="1:25" ht="66">
      <c r="A32" s="3132"/>
      <c r="B32" s="3132"/>
      <c r="C32" s="3132"/>
      <c r="D32" s="3135"/>
      <c r="E32" s="1621" t="s">
        <v>2309</v>
      </c>
      <c r="F32" s="1619"/>
      <c r="G32" s="1636"/>
      <c r="H32" s="1619"/>
      <c r="I32" s="1636" t="s">
        <v>2310</v>
      </c>
      <c r="J32" s="1636" t="s">
        <v>2311</v>
      </c>
      <c r="K32" s="1655">
        <v>1</v>
      </c>
      <c r="L32" s="1668">
        <v>0.3</v>
      </c>
      <c r="M32" s="1632">
        <v>0</v>
      </c>
      <c r="N32" s="1631">
        <v>0</v>
      </c>
      <c r="O32" s="3132"/>
      <c r="P32" s="1633">
        <v>18444000</v>
      </c>
      <c r="Q32" s="1633">
        <v>18444000</v>
      </c>
      <c r="R32" s="1633">
        <v>0</v>
      </c>
      <c r="S32" s="1633">
        <v>0</v>
      </c>
      <c r="T32" s="1657">
        <f>IF(Q32=0,0,R32/Q32)</f>
        <v>0</v>
      </c>
      <c r="U32" s="1657">
        <f>IF(R32=0,0,S32/R32)</f>
        <v>0</v>
      </c>
      <c r="V32" s="1658"/>
      <c r="W32" s="1658"/>
      <c r="X32" s="1637"/>
      <c r="Y32" s="3138"/>
    </row>
    <row r="33" spans="1:25" ht="27.6">
      <c r="A33" s="1619"/>
      <c r="B33" s="1662">
        <v>52010050004</v>
      </c>
      <c r="C33" s="1619" t="s">
        <v>117</v>
      </c>
      <c r="D33" s="1654" t="s">
        <v>2312</v>
      </c>
      <c r="E33" s="1621"/>
      <c r="F33" s="1619"/>
      <c r="G33" s="1636"/>
      <c r="H33" s="1619"/>
      <c r="I33" s="1636"/>
      <c r="J33" s="1636"/>
      <c r="K33" s="1655"/>
      <c r="L33" s="1645"/>
      <c r="M33" s="1655"/>
      <c r="N33" s="1645"/>
      <c r="O33" s="1656"/>
      <c r="P33" s="1655"/>
      <c r="Q33" s="1644"/>
      <c r="R33" s="1644"/>
      <c r="S33" s="1644"/>
      <c r="T33" s="1657"/>
      <c r="U33" s="1657"/>
      <c r="V33" s="1621"/>
      <c r="W33" s="1621"/>
      <c r="X33" s="1637"/>
      <c r="Y33" s="1664"/>
    </row>
    <row r="34" spans="1:25">
      <c r="A34" s="3132">
        <v>4146</v>
      </c>
      <c r="B34" s="3132"/>
      <c r="C34" s="3143" t="s">
        <v>123</v>
      </c>
      <c r="D34" s="3134" t="s">
        <v>2313</v>
      </c>
      <c r="E34" s="1621" t="s">
        <v>2314</v>
      </c>
      <c r="F34" s="1619"/>
      <c r="G34" s="1636"/>
      <c r="H34" s="1619"/>
      <c r="I34" s="1636"/>
      <c r="J34" s="1636"/>
      <c r="K34" s="1655">
        <v>1</v>
      </c>
      <c r="L34" s="1631">
        <v>1</v>
      </c>
      <c r="M34" s="1655"/>
      <c r="N34" s="1631">
        <f>+N35+N36</f>
        <v>0.03</v>
      </c>
      <c r="O34" s="3137">
        <f>IF(Q34&gt;0,N34,"na")</f>
        <v>0.03</v>
      </c>
      <c r="P34" s="1633">
        <f>+P35+P36</f>
        <v>742920000</v>
      </c>
      <c r="Q34" s="1633">
        <f>+Q35+Q36</f>
        <v>742920000</v>
      </c>
      <c r="R34" s="1633">
        <f>+R35+R36</f>
        <v>171856000</v>
      </c>
      <c r="S34" s="1633">
        <f>+S35+S36</f>
        <v>0</v>
      </c>
      <c r="T34" s="1657">
        <f t="shared" ref="T34:U36" si="9">IF(Q34=0,0,R34/Q34)</f>
        <v>0.23132504172723847</v>
      </c>
      <c r="U34" s="1657">
        <f t="shared" si="9"/>
        <v>0</v>
      </c>
      <c r="V34" s="1658"/>
      <c r="W34" s="1658"/>
      <c r="X34" s="1637"/>
      <c r="Y34" s="3131" t="s">
        <v>2287</v>
      </c>
    </row>
    <row r="35" spans="1:25" ht="92.4">
      <c r="A35" s="3132"/>
      <c r="B35" s="3132"/>
      <c r="C35" s="3143"/>
      <c r="D35" s="3134"/>
      <c r="E35" s="1621" t="s">
        <v>2315</v>
      </c>
      <c r="F35" s="1619"/>
      <c r="G35" s="1636" t="s">
        <v>2312</v>
      </c>
      <c r="H35" s="1619"/>
      <c r="I35" s="1636" t="s">
        <v>2316</v>
      </c>
      <c r="J35" s="1636" t="s">
        <v>2317</v>
      </c>
      <c r="K35" s="1655">
        <v>1</v>
      </c>
      <c r="L35" s="1631">
        <v>0.6</v>
      </c>
      <c r="M35" s="1632">
        <v>0</v>
      </c>
      <c r="N35" s="1631">
        <v>0.03</v>
      </c>
      <c r="O35" s="3137"/>
      <c r="P35" s="1633">
        <v>545000000</v>
      </c>
      <c r="Q35" s="1633">
        <v>545000000</v>
      </c>
      <c r="R35" s="1633">
        <v>171856000</v>
      </c>
      <c r="S35" s="1633">
        <v>0</v>
      </c>
      <c r="T35" s="1657">
        <f>IF(Q35=0,0,R35/Q35)</f>
        <v>0.31533211009174311</v>
      </c>
      <c r="U35" s="1657">
        <f t="shared" si="9"/>
        <v>0</v>
      </c>
      <c r="V35" s="1658">
        <v>45376</v>
      </c>
      <c r="W35" s="1658">
        <v>45657</v>
      </c>
      <c r="X35" s="1669" t="s">
        <v>2318</v>
      </c>
      <c r="Y35" s="3131"/>
    </row>
    <row r="36" spans="1:25" ht="39.6">
      <c r="A36" s="3132"/>
      <c r="B36" s="3132"/>
      <c r="C36" s="3143"/>
      <c r="D36" s="3134"/>
      <c r="E36" s="1621" t="s">
        <v>2319</v>
      </c>
      <c r="F36" s="1619"/>
      <c r="G36" s="1636"/>
      <c r="H36" s="1619"/>
      <c r="I36" s="1636" t="s">
        <v>2320</v>
      </c>
      <c r="J36" s="1636" t="s">
        <v>2299</v>
      </c>
      <c r="K36" s="1655">
        <v>7659</v>
      </c>
      <c r="L36" s="1631">
        <v>0.4</v>
      </c>
      <c r="M36" s="1632">
        <v>0</v>
      </c>
      <c r="N36" s="1631">
        <v>0</v>
      </c>
      <c r="O36" s="3137"/>
      <c r="P36" s="1633">
        <v>197920000</v>
      </c>
      <c r="Q36" s="1633">
        <v>197920000</v>
      </c>
      <c r="R36" s="1633">
        <v>0</v>
      </c>
      <c r="S36" s="1633">
        <v>0</v>
      </c>
      <c r="T36" s="1657">
        <f>IF(Q36=0,0,R36/Q36)</f>
        <v>0</v>
      </c>
      <c r="U36" s="1657">
        <f t="shared" si="9"/>
        <v>0</v>
      </c>
      <c r="V36" s="1658"/>
      <c r="W36" s="1658"/>
      <c r="X36" s="1669"/>
      <c r="Y36" s="3131"/>
    </row>
    <row r="37" spans="1:25" ht="41.4">
      <c r="A37" s="1619"/>
      <c r="B37" s="1662">
        <v>52010050005</v>
      </c>
      <c r="C37" s="1662" t="s">
        <v>117</v>
      </c>
      <c r="D37" s="1654" t="s">
        <v>2321</v>
      </c>
      <c r="E37" s="1621"/>
      <c r="F37" s="1663"/>
      <c r="G37" s="1636"/>
      <c r="H37" s="1663"/>
      <c r="I37" s="1636"/>
      <c r="J37" s="1636"/>
      <c r="K37" s="1644"/>
      <c r="L37" s="1645"/>
      <c r="M37" s="1655"/>
      <c r="N37" s="1645"/>
      <c r="O37" s="1656"/>
      <c r="P37" s="1655"/>
      <c r="Q37" s="1644"/>
      <c r="R37" s="1644"/>
      <c r="S37" s="1644"/>
      <c r="T37" s="1657"/>
      <c r="U37" s="1657"/>
      <c r="V37" s="1621"/>
      <c r="W37" s="1621"/>
      <c r="X37" s="1637"/>
      <c r="Y37" s="1664"/>
    </row>
    <row r="38" spans="1:25">
      <c r="A38" s="3132">
        <v>4146</v>
      </c>
      <c r="B38" s="3132"/>
      <c r="C38" s="3132" t="s">
        <v>123</v>
      </c>
      <c r="D38" s="3134" t="s">
        <v>2322</v>
      </c>
      <c r="E38" s="1621" t="s">
        <v>2323</v>
      </c>
      <c r="F38" s="1619"/>
      <c r="G38" s="1636"/>
      <c r="H38" s="1619"/>
      <c r="I38" s="1636"/>
      <c r="J38" s="1636"/>
      <c r="K38" s="1633">
        <v>37884</v>
      </c>
      <c r="L38" s="1631">
        <v>1</v>
      </c>
      <c r="M38" s="1655"/>
      <c r="N38" s="1631">
        <f>N39</f>
        <v>0.03</v>
      </c>
      <c r="O38" s="3137">
        <f>IF(Q38&gt;0,N38,"na")</f>
        <v>0.03</v>
      </c>
      <c r="P38" s="1633">
        <f>P39</f>
        <v>5774024375</v>
      </c>
      <c r="Q38" s="1633">
        <f t="shared" ref="Q38:S38" si="10">Q39</f>
        <v>5774024375</v>
      </c>
      <c r="R38" s="1633">
        <f t="shared" si="10"/>
        <v>175447000</v>
      </c>
      <c r="S38" s="1633">
        <f t="shared" si="10"/>
        <v>22881000</v>
      </c>
      <c r="T38" s="1657">
        <f t="shared" ref="T38:U39" si="11">IF(Q38=0,0,R38/Q38)</f>
        <v>3.0385566219574542E-2</v>
      </c>
      <c r="U38" s="1657">
        <f t="shared" si="11"/>
        <v>0.13041545309979652</v>
      </c>
      <c r="V38" s="1658"/>
      <c r="W38" s="1658"/>
      <c r="X38" s="1637"/>
      <c r="Y38" s="3131" t="s">
        <v>2287</v>
      </c>
    </row>
    <row r="39" spans="1:25" ht="105.6">
      <c r="A39" s="3132"/>
      <c r="B39" s="3132"/>
      <c r="C39" s="3132"/>
      <c r="D39" s="3134"/>
      <c r="E39" s="1621" t="s">
        <v>2324</v>
      </c>
      <c r="F39" s="1619"/>
      <c r="G39" s="1636" t="s">
        <v>2325</v>
      </c>
      <c r="H39" s="1663"/>
      <c r="I39" s="1636" t="s">
        <v>2326</v>
      </c>
      <c r="J39" s="1636" t="s">
        <v>2327</v>
      </c>
      <c r="K39" s="1633">
        <v>37884</v>
      </c>
      <c r="L39" s="1631">
        <v>1</v>
      </c>
      <c r="M39" s="1632">
        <v>1780</v>
      </c>
      <c r="N39" s="1631">
        <v>0.03</v>
      </c>
      <c r="O39" s="3137"/>
      <c r="P39" s="1633">
        <v>5774024375</v>
      </c>
      <c r="Q39" s="1633">
        <v>5774024375</v>
      </c>
      <c r="R39" s="1633">
        <v>175447000</v>
      </c>
      <c r="S39" s="1633">
        <v>22881000</v>
      </c>
      <c r="T39" s="1657">
        <f t="shared" si="11"/>
        <v>3.0385566219574542E-2</v>
      </c>
      <c r="U39" s="1657">
        <f t="shared" si="11"/>
        <v>0.13041545309979652</v>
      </c>
      <c r="V39" s="1658">
        <v>45328</v>
      </c>
      <c r="W39" s="1658">
        <v>45657</v>
      </c>
      <c r="X39" s="1669" t="s">
        <v>2328</v>
      </c>
      <c r="Y39" s="3131"/>
    </row>
    <row r="40" spans="1:25" ht="27.6">
      <c r="A40" s="1619"/>
      <c r="B40" s="1662">
        <v>52010050006</v>
      </c>
      <c r="C40" s="1619" t="s">
        <v>117</v>
      </c>
      <c r="D40" s="1654" t="s">
        <v>2329</v>
      </c>
      <c r="E40" s="1621"/>
      <c r="F40" s="1663"/>
      <c r="G40" s="1636"/>
      <c r="H40" s="1663"/>
      <c r="I40" s="1636"/>
      <c r="J40" s="1636"/>
      <c r="K40" s="1655"/>
      <c r="L40" s="1645"/>
      <c r="M40" s="1655"/>
      <c r="N40" s="1645"/>
      <c r="O40" s="1656"/>
      <c r="P40" s="1644"/>
      <c r="Q40" s="1644"/>
      <c r="R40" s="1644"/>
      <c r="S40" s="1644"/>
      <c r="T40" s="1657"/>
      <c r="U40" s="1657"/>
      <c r="V40" s="1663"/>
      <c r="W40" s="1663"/>
      <c r="X40" s="1637"/>
      <c r="Y40" s="1670"/>
    </row>
    <row r="41" spans="1:25">
      <c r="A41" s="3132">
        <v>4146</v>
      </c>
      <c r="B41" s="3132"/>
      <c r="C41" s="3132" t="s">
        <v>123</v>
      </c>
      <c r="D41" s="3134" t="s">
        <v>2330</v>
      </c>
      <c r="E41" s="1621" t="s">
        <v>2331</v>
      </c>
      <c r="F41" s="1619"/>
      <c r="G41" s="1636"/>
      <c r="H41" s="1619"/>
      <c r="I41" s="1636"/>
      <c r="J41" s="1636"/>
      <c r="K41" s="1633">
        <v>30000</v>
      </c>
      <c r="L41" s="1631">
        <v>1</v>
      </c>
      <c r="M41" s="1655"/>
      <c r="N41" s="1631">
        <f>+N42+N43</f>
        <v>0</v>
      </c>
      <c r="O41" s="3137">
        <f>IF(Q41&gt;0,N41,"na")</f>
        <v>0</v>
      </c>
      <c r="P41" s="1633">
        <f>+P42+P43</f>
        <v>136200000</v>
      </c>
      <c r="Q41" s="1633">
        <f>+Q42+Q43</f>
        <v>136200000</v>
      </c>
      <c r="R41" s="1633">
        <f t="shared" ref="R41:S41" si="12">+R42+R43</f>
        <v>0</v>
      </c>
      <c r="S41" s="1633">
        <f t="shared" si="12"/>
        <v>0</v>
      </c>
      <c r="T41" s="1657">
        <f t="shared" ref="T41:U43" si="13">IF(Q41=0,0,R41/Q41)</f>
        <v>0</v>
      </c>
      <c r="U41" s="1657">
        <f t="shared" si="13"/>
        <v>0</v>
      </c>
      <c r="V41" s="1658"/>
      <c r="W41" s="1658"/>
      <c r="X41" s="1637"/>
      <c r="Y41" s="3131" t="s">
        <v>2287</v>
      </c>
    </row>
    <row r="42" spans="1:25" ht="52.8">
      <c r="A42" s="3132"/>
      <c r="B42" s="3132"/>
      <c r="C42" s="3132"/>
      <c r="D42" s="3134"/>
      <c r="E42" s="1621" t="s">
        <v>2332</v>
      </c>
      <c r="F42" s="1619"/>
      <c r="G42" s="1636"/>
      <c r="H42" s="1619"/>
      <c r="I42" s="1636" t="s">
        <v>2333</v>
      </c>
      <c r="J42" s="1636" t="s">
        <v>2334</v>
      </c>
      <c r="K42" s="1633">
        <v>30000</v>
      </c>
      <c r="L42" s="1631">
        <v>0.2</v>
      </c>
      <c r="M42" s="1632">
        <v>0</v>
      </c>
      <c r="N42" s="1631">
        <v>0</v>
      </c>
      <c r="O42" s="3137"/>
      <c r="P42" s="1633">
        <v>75600000</v>
      </c>
      <c r="Q42" s="1633">
        <v>75600000</v>
      </c>
      <c r="R42" s="1633">
        <v>0</v>
      </c>
      <c r="S42" s="1633">
        <v>0</v>
      </c>
      <c r="T42" s="1657">
        <f>IF(Q42=0,0,R42/Q42)</f>
        <v>0</v>
      </c>
      <c r="U42" s="1657">
        <f>IF(R42=0,0,S42/R42)</f>
        <v>0</v>
      </c>
      <c r="V42" s="1658"/>
      <c r="W42" s="1658"/>
      <c r="X42" s="1637"/>
      <c r="Y42" s="3131"/>
    </row>
    <row r="43" spans="1:25" ht="79.2">
      <c r="A43" s="3132"/>
      <c r="B43" s="3132"/>
      <c r="C43" s="3132"/>
      <c r="D43" s="3135"/>
      <c r="E43" s="1621" t="s">
        <v>2335</v>
      </c>
      <c r="F43" s="1619"/>
      <c r="G43" s="1636" t="s">
        <v>2329</v>
      </c>
      <c r="H43" s="1663"/>
      <c r="I43" s="1636" t="s">
        <v>2336</v>
      </c>
      <c r="J43" s="1636" t="s">
        <v>2337</v>
      </c>
      <c r="K43" s="1633">
        <v>30000</v>
      </c>
      <c r="L43" s="1631">
        <v>0.8</v>
      </c>
      <c r="M43" s="1632">
        <v>0</v>
      </c>
      <c r="N43" s="1631">
        <v>0</v>
      </c>
      <c r="O43" s="3132"/>
      <c r="P43" s="1633">
        <v>60600000</v>
      </c>
      <c r="Q43" s="1633">
        <v>60600000</v>
      </c>
      <c r="R43" s="1633">
        <v>0</v>
      </c>
      <c r="S43" s="1633">
        <v>0</v>
      </c>
      <c r="T43" s="1657">
        <f t="shared" si="13"/>
        <v>0</v>
      </c>
      <c r="U43" s="1657">
        <f t="shared" si="13"/>
        <v>0</v>
      </c>
      <c r="V43" s="1658"/>
      <c r="W43" s="1658"/>
      <c r="X43" s="1669"/>
      <c r="Y43" s="3138"/>
    </row>
    <row r="44" spans="1:25" ht="27.6">
      <c r="A44" s="1619"/>
      <c r="B44" s="1619">
        <v>52010050007</v>
      </c>
      <c r="C44" s="1619" t="s">
        <v>117</v>
      </c>
      <c r="D44" s="1654" t="s">
        <v>2338</v>
      </c>
      <c r="E44" s="1621"/>
      <c r="F44" s="1671"/>
      <c r="G44" s="1636"/>
      <c r="H44" s="1663"/>
      <c r="I44" s="1636"/>
      <c r="J44" s="1636"/>
      <c r="K44" s="1633"/>
      <c r="L44" s="1631"/>
      <c r="M44" s="1633"/>
      <c r="N44" s="1631"/>
      <c r="O44" s="1619"/>
      <c r="P44" s="1633"/>
      <c r="Q44" s="1633"/>
      <c r="R44" s="1633"/>
      <c r="S44" s="1633"/>
      <c r="T44" s="1657"/>
      <c r="U44" s="1657"/>
      <c r="V44" s="1658"/>
      <c r="W44" s="1658"/>
      <c r="X44" s="1669"/>
      <c r="Y44" s="1638"/>
    </row>
    <row r="45" spans="1:25">
      <c r="A45" s="3132">
        <v>4146</v>
      </c>
      <c r="B45" s="3132"/>
      <c r="C45" s="3132" t="s">
        <v>123</v>
      </c>
      <c r="D45" s="3134" t="s">
        <v>2339</v>
      </c>
      <c r="E45" s="1621" t="s">
        <v>2340</v>
      </c>
      <c r="F45" s="1619"/>
      <c r="G45" s="1636"/>
      <c r="H45" s="1663"/>
      <c r="I45" s="1636"/>
      <c r="J45" s="1636"/>
      <c r="K45" s="1633">
        <v>2850</v>
      </c>
      <c r="L45" s="1631">
        <v>1</v>
      </c>
      <c r="M45" s="1633"/>
      <c r="N45" s="1631">
        <f>+N46</f>
        <v>0</v>
      </c>
      <c r="O45" s="3142">
        <f>IF(Q45&gt;0,N45,"na")</f>
        <v>0</v>
      </c>
      <c r="P45" s="1633">
        <f>+P46</f>
        <v>55000000</v>
      </c>
      <c r="Q45" s="1633">
        <f>+Q46</f>
        <v>55000000</v>
      </c>
      <c r="R45" s="1633">
        <f>+R46</f>
        <v>0</v>
      </c>
      <c r="S45" s="1633">
        <f>+S46</f>
        <v>0</v>
      </c>
      <c r="T45" s="1657">
        <f t="shared" ref="T45:U46" si="14">IF(Q45=0,0,R45/Q45)</f>
        <v>0</v>
      </c>
      <c r="U45" s="1657">
        <f t="shared" si="14"/>
        <v>0</v>
      </c>
      <c r="V45" s="1658"/>
      <c r="W45" s="1658"/>
      <c r="X45" s="1669"/>
      <c r="Y45" s="3131" t="s">
        <v>2287</v>
      </c>
    </row>
    <row r="46" spans="1:25" ht="132">
      <c r="A46" s="3132"/>
      <c r="B46" s="3132"/>
      <c r="C46" s="3132"/>
      <c r="D46" s="3134"/>
      <c r="E46" s="1621" t="s">
        <v>2341</v>
      </c>
      <c r="F46" s="1619"/>
      <c r="G46" s="1636" t="s">
        <v>2338</v>
      </c>
      <c r="H46" s="1663"/>
      <c r="I46" s="1636" t="s">
        <v>2342</v>
      </c>
      <c r="J46" s="1636" t="s">
        <v>2307</v>
      </c>
      <c r="K46" s="1667">
        <v>2850</v>
      </c>
      <c r="L46" s="1668">
        <v>1</v>
      </c>
      <c r="M46" s="1632">
        <v>0</v>
      </c>
      <c r="N46" s="1631">
        <v>0</v>
      </c>
      <c r="O46" s="3142"/>
      <c r="P46" s="1633">
        <v>55000000</v>
      </c>
      <c r="Q46" s="1633">
        <v>55000000</v>
      </c>
      <c r="R46" s="1633">
        <v>0</v>
      </c>
      <c r="S46" s="1633">
        <v>0</v>
      </c>
      <c r="T46" s="1657">
        <f t="shared" si="14"/>
        <v>0</v>
      </c>
      <c r="U46" s="1657">
        <f t="shared" si="14"/>
        <v>0</v>
      </c>
      <c r="V46" s="1658"/>
      <c r="W46" s="1658"/>
      <c r="X46" s="1669"/>
      <c r="Y46" s="3131"/>
    </row>
    <row r="47" spans="1:25" ht="41.4">
      <c r="A47" s="1619"/>
      <c r="B47" s="1662">
        <v>52010050010</v>
      </c>
      <c r="C47" s="1619" t="s">
        <v>117</v>
      </c>
      <c r="D47" s="1654" t="s">
        <v>2343</v>
      </c>
      <c r="E47" s="1621"/>
      <c r="F47" s="1619"/>
      <c r="G47" s="1636"/>
      <c r="H47" s="1619"/>
      <c r="I47" s="1636"/>
      <c r="J47" s="1636"/>
      <c r="K47" s="1644"/>
      <c r="L47" s="1645"/>
      <c r="M47" s="1644"/>
      <c r="N47" s="1645"/>
      <c r="O47" s="1619"/>
      <c r="P47" s="1644"/>
      <c r="Q47" s="1644"/>
      <c r="R47" s="1644"/>
      <c r="S47" s="1644"/>
      <c r="T47" s="1657"/>
      <c r="U47" s="1657"/>
      <c r="V47" s="1658"/>
      <c r="W47" s="1658"/>
      <c r="X47" s="1669"/>
      <c r="Y47" s="1628"/>
    </row>
    <row r="48" spans="1:25">
      <c r="A48" s="3132">
        <v>4146</v>
      </c>
      <c r="B48" s="3132"/>
      <c r="C48" s="3132" t="s">
        <v>123</v>
      </c>
      <c r="D48" s="3134" t="s">
        <v>2344</v>
      </c>
      <c r="E48" s="1621" t="s">
        <v>2345</v>
      </c>
      <c r="F48" s="1619"/>
      <c r="G48" s="1636"/>
      <c r="H48" s="1619"/>
      <c r="I48" s="1636"/>
      <c r="J48" s="1636"/>
      <c r="K48" s="1633">
        <v>220</v>
      </c>
      <c r="L48" s="1631">
        <v>1</v>
      </c>
      <c r="M48" s="1655"/>
      <c r="N48" s="1631">
        <f>+N49+N50</f>
        <v>0.09</v>
      </c>
      <c r="O48" s="3137">
        <f>IF(Q48&gt;0,N48,"na")</f>
        <v>0.09</v>
      </c>
      <c r="P48" s="1633">
        <f>+P49+P50</f>
        <v>595000000</v>
      </c>
      <c r="Q48" s="1633">
        <f>+Q49+Q50</f>
        <v>595000000</v>
      </c>
      <c r="R48" s="1633">
        <f>+R49+R50</f>
        <v>31604000</v>
      </c>
      <c r="S48" s="1633">
        <f>+S49+S50</f>
        <v>0</v>
      </c>
      <c r="T48" s="1657">
        <f t="shared" ref="T48:U50" si="15">IF(Q48=0,0,R48/Q48)</f>
        <v>5.3115966386554622E-2</v>
      </c>
      <c r="U48" s="1657">
        <f t="shared" si="15"/>
        <v>0</v>
      </c>
      <c r="V48" s="1658"/>
      <c r="W48" s="1658"/>
      <c r="X48" s="1637"/>
      <c r="Y48" s="3131" t="s">
        <v>2287</v>
      </c>
    </row>
    <row r="49" spans="1:25" ht="79.2">
      <c r="A49" s="3132"/>
      <c r="B49" s="3132"/>
      <c r="C49" s="3132"/>
      <c r="D49" s="3134"/>
      <c r="E49" s="1621" t="s">
        <v>2346</v>
      </c>
      <c r="F49" s="1619"/>
      <c r="G49" s="1636" t="s">
        <v>2347</v>
      </c>
      <c r="H49" s="1619"/>
      <c r="I49" s="1636" t="s">
        <v>2348</v>
      </c>
      <c r="J49" s="1636" t="s">
        <v>2349</v>
      </c>
      <c r="K49" s="1633">
        <v>220</v>
      </c>
      <c r="L49" s="1631">
        <v>0.65</v>
      </c>
      <c r="M49" s="1632">
        <v>50</v>
      </c>
      <c r="N49" s="1631">
        <v>0.09</v>
      </c>
      <c r="O49" s="3137"/>
      <c r="P49" s="1633">
        <v>250000000</v>
      </c>
      <c r="Q49" s="1633">
        <v>250000000</v>
      </c>
      <c r="R49" s="1633">
        <v>31604000</v>
      </c>
      <c r="S49" s="1633">
        <v>0</v>
      </c>
      <c r="T49" s="1657">
        <f t="shared" si="15"/>
        <v>0.126416</v>
      </c>
      <c r="U49" s="1657">
        <f t="shared" si="15"/>
        <v>0</v>
      </c>
      <c r="V49" s="1658">
        <v>45358</v>
      </c>
      <c r="W49" s="1658">
        <v>45657</v>
      </c>
      <c r="X49" s="1669" t="s">
        <v>2350</v>
      </c>
      <c r="Y49" s="3131"/>
    </row>
    <row r="50" spans="1:25" ht="52.8">
      <c r="A50" s="3132"/>
      <c r="B50" s="3132"/>
      <c r="C50" s="3132"/>
      <c r="D50" s="3134"/>
      <c r="E50" s="1621" t="s">
        <v>2351</v>
      </c>
      <c r="F50" s="1619"/>
      <c r="G50" s="1636"/>
      <c r="H50" s="1619"/>
      <c r="I50" s="1636" t="s">
        <v>2352</v>
      </c>
      <c r="J50" s="1636" t="s">
        <v>2353</v>
      </c>
      <c r="K50" s="1633">
        <v>20</v>
      </c>
      <c r="L50" s="1631">
        <v>0.35</v>
      </c>
      <c r="M50" s="1632">
        <v>0</v>
      </c>
      <c r="N50" s="1631">
        <v>0</v>
      </c>
      <c r="O50" s="3137"/>
      <c r="P50" s="1633">
        <v>345000000</v>
      </c>
      <c r="Q50" s="1633">
        <v>345000000</v>
      </c>
      <c r="R50" s="1633">
        <v>0</v>
      </c>
      <c r="S50" s="1633">
        <v>0</v>
      </c>
      <c r="T50" s="1657">
        <f t="shared" si="15"/>
        <v>0</v>
      </c>
      <c r="U50" s="1657">
        <f t="shared" si="15"/>
        <v>0</v>
      </c>
      <c r="V50" s="1658"/>
      <c r="W50" s="1658"/>
      <c r="X50" s="1669"/>
      <c r="Y50" s="3131"/>
    </row>
    <row r="51" spans="1:25" ht="27.6">
      <c r="A51" s="1619"/>
      <c r="B51" s="1662">
        <v>52010050011</v>
      </c>
      <c r="C51" s="1619" t="s">
        <v>117</v>
      </c>
      <c r="D51" s="1654" t="s">
        <v>2354</v>
      </c>
      <c r="E51" s="1621"/>
      <c r="F51" s="1665"/>
      <c r="G51" s="1636"/>
      <c r="H51" s="1665"/>
      <c r="I51" s="1636"/>
      <c r="J51" s="1636"/>
      <c r="K51" s="1644"/>
      <c r="L51" s="1645"/>
      <c r="M51" s="1655"/>
      <c r="N51" s="1645"/>
      <c r="O51" s="1619"/>
      <c r="P51" s="1644"/>
      <c r="Q51" s="1644"/>
      <c r="R51" s="1644"/>
      <c r="S51" s="1644"/>
      <c r="T51" s="1657"/>
      <c r="U51" s="1657"/>
      <c r="V51" s="1658"/>
      <c r="W51" s="1658"/>
      <c r="X51" s="1669"/>
      <c r="Y51" s="1628"/>
    </row>
    <row r="52" spans="1:25">
      <c r="A52" s="3132">
        <v>4146</v>
      </c>
      <c r="B52" s="3132"/>
      <c r="C52" s="3132" t="s">
        <v>123</v>
      </c>
      <c r="D52" s="3134" t="s">
        <v>2355</v>
      </c>
      <c r="E52" s="1621" t="s">
        <v>2356</v>
      </c>
      <c r="F52" s="1619"/>
      <c r="G52" s="1636"/>
      <c r="H52" s="1619"/>
      <c r="I52" s="1636"/>
      <c r="J52" s="1636"/>
      <c r="K52" s="1633">
        <v>2300</v>
      </c>
      <c r="L52" s="1631">
        <v>1</v>
      </c>
      <c r="M52" s="1655"/>
      <c r="N52" s="1631">
        <f>+N53+N54</f>
        <v>0</v>
      </c>
      <c r="O52" s="3137">
        <f>IF(Q52&gt;0,N52,"na")</f>
        <v>0</v>
      </c>
      <c r="P52" s="1633">
        <f>+P53+P54</f>
        <v>2099702336</v>
      </c>
      <c r="Q52" s="1633">
        <f>+Q53+Q54</f>
        <v>2099702336</v>
      </c>
      <c r="R52" s="1633">
        <f t="shared" ref="R52:S52" si="16">+R53+R54</f>
        <v>0</v>
      </c>
      <c r="S52" s="1633">
        <f t="shared" si="16"/>
        <v>0</v>
      </c>
      <c r="T52" s="1657">
        <f t="shared" ref="T52:U54" si="17">IF(Q52=0,0,R52/Q52)</f>
        <v>0</v>
      </c>
      <c r="U52" s="1657">
        <f t="shared" si="17"/>
        <v>0</v>
      </c>
      <c r="V52" s="1658"/>
      <c r="W52" s="1658"/>
      <c r="X52" s="1637"/>
      <c r="Y52" s="3131" t="s">
        <v>2287</v>
      </c>
    </row>
    <row r="53" spans="1:25" ht="66">
      <c r="A53" s="3132"/>
      <c r="B53" s="3132"/>
      <c r="C53" s="3132"/>
      <c r="D53" s="3134"/>
      <c r="E53" s="1621" t="s">
        <v>2357</v>
      </c>
      <c r="F53" s="1619"/>
      <c r="G53" s="1636"/>
      <c r="H53" s="1619"/>
      <c r="I53" s="1636" t="s">
        <v>2358</v>
      </c>
      <c r="J53" s="1636" t="s">
        <v>2334</v>
      </c>
      <c r="K53" s="1633">
        <v>957</v>
      </c>
      <c r="L53" s="1631">
        <v>0.28000000000000003</v>
      </c>
      <c r="M53" s="1632">
        <v>0</v>
      </c>
      <c r="N53" s="1631">
        <v>0</v>
      </c>
      <c r="O53" s="3137"/>
      <c r="P53" s="1633">
        <v>480000000</v>
      </c>
      <c r="Q53" s="1633">
        <v>480000000</v>
      </c>
      <c r="R53" s="1633">
        <v>0</v>
      </c>
      <c r="S53" s="1633">
        <v>0</v>
      </c>
      <c r="T53" s="1657">
        <f t="shared" si="17"/>
        <v>0</v>
      </c>
      <c r="U53" s="1657">
        <f t="shared" si="17"/>
        <v>0</v>
      </c>
      <c r="V53" s="1658"/>
      <c r="W53" s="1658"/>
      <c r="X53" s="1637"/>
      <c r="Y53" s="3131"/>
    </row>
    <row r="54" spans="1:25" ht="118.8">
      <c r="A54" s="3132"/>
      <c r="B54" s="3132"/>
      <c r="C54" s="3132"/>
      <c r="D54" s="3135"/>
      <c r="E54" s="1621" t="s">
        <v>2359</v>
      </c>
      <c r="F54" s="1619"/>
      <c r="G54" s="1636" t="s">
        <v>2354</v>
      </c>
      <c r="H54" s="1665"/>
      <c r="I54" s="1636" t="s">
        <v>2360</v>
      </c>
      <c r="J54" s="1636" t="s">
        <v>2361</v>
      </c>
      <c r="K54" s="1633">
        <v>2300</v>
      </c>
      <c r="L54" s="1631">
        <v>0.72</v>
      </c>
      <c r="M54" s="1632">
        <v>0</v>
      </c>
      <c r="N54" s="1631">
        <v>0</v>
      </c>
      <c r="O54" s="3132"/>
      <c r="P54" s="1633">
        <v>1619702336</v>
      </c>
      <c r="Q54" s="1633">
        <v>1619702336</v>
      </c>
      <c r="R54" s="1633">
        <v>0</v>
      </c>
      <c r="S54" s="1633">
        <v>0</v>
      </c>
      <c r="T54" s="1657">
        <f>IF(Q54=0,0,R54/Q54)</f>
        <v>0</v>
      </c>
      <c r="U54" s="1657">
        <f t="shared" si="17"/>
        <v>0</v>
      </c>
      <c r="V54" s="1658"/>
      <c r="W54" s="1658"/>
      <c r="X54" s="1637"/>
      <c r="Y54" s="3138"/>
    </row>
    <row r="55" spans="1:25" ht="41.4">
      <c r="A55" s="1619"/>
      <c r="B55" s="1662">
        <v>52010050012</v>
      </c>
      <c r="C55" s="1619" t="s">
        <v>117</v>
      </c>
      <c r="D55" s="1654" t="s">
        <v>2362</v>
      </c>
      <c r="E55" s="1621"/>
      <c r="F55" s="1619"/>
      <c r="G55" s="1636"/>
      <c r="H55" s="1665"/>
      <c r="I55" s="1636"/>
      <c r="J55" s="1636"/>
      <c r="K55" s="1633"/>
      <c r="L55" s="1631"/>
      <c r="M55" s="1633"/>
      <c r="N55" s="1631"/>
      <c r="O55" s="1619"/>
      <c r="P55" s="1633"/>
      <c r="Q55" s="1633"/>
      <c r="R55" s="1633"/>
      <c r="S55" s="1633"/>
      <c r="T55" s="1657"/>
      <c r="U55" s="1657"/>
      <c r="V55" s="1658"/>
      <c r="W55" s="1658"/>
      <c r="X55" s="1669"/>
      <c r="Y55" s="1638"/>
    </row>
    <row r="56" spans="1:25">
      <c r="A56" s="3132">
        <v>4146</v>
      </c>
      <c r="B56" s="3143"/>
      <c r="C56" s="3132" t="s">
        <v>123</v>
      </c>
      <c r="D56" s="3134" t="s">
        <v>2363</v>
      </c>
      <c r="E56" s="1621" t="s">
        <v>2364</v>
      </c>
      <c r="F56" s="1619"/>
      <c r="G56" s="1636"/>
      <c r="H56" s="1665"/>
      <c r="I56" s="1636"/>
      <c r="J56" s="1636"/>
      <c r="K56" s="1633">
        <v>50</v>
      </c>
      <c r="L56" s="1631">
        <v>1</v>
      </c>
      <c r="M56" s="1633"/>
      <c r="N56" s="1631">
        <f>+N57</f>
        <v>0</v>
      </c>
      <c r="O56" s="1619"/>
      <c r="P56" s="1633">
        <f>+P57</f>
        <v>45000000</v>
      </c>
      <c r="Q56" s="1633">
        <f>+Q57</f>
        <v>45000000</v>
      </c>
      <c r="R56" s="1633">
        <f>+R57</f>
        <v>0</v>
      </c>
      <c r="S56" s="1633">
        <f>+S57</f>
        <v>0</v>
      </c>
      <c r="T56" s="1657">
        <f t="shared" ref="T56:U56" si="18">IF(Q56=0,0,R56/Q56)</f>
        <v>0</v>
      </c>
      <c r="U56" s="1657">
        <f t="shared" si="18"/>
        <v>0</v>
      </c>
      <c r="V56" s="1658"/>
      <c r="W56" s="1658"/>
      <c r="X56" s="1669"/>
      <c r="Y56" s="3131" t="s">
        <v>2287</v>
      </c>
    </row>
    <row r="57" spans="1:25" ht="145.19999999999999">
      <c r="A57" s="3132"/>
      <c r="B57" s="3143"/>
      <c r="C57" s="3132"/>
      <c r="D57" s="3135"/>
      <c r="E57" s="1621" t="s">
        <v>2365</v>
      </c>
      <c r="F57" s="1619"/>
      <c r="G57" s="1636" t="s">
        <v>2362</v>
      </c>
      <c r="H57" s="1665"/>
      <c r="I57" s="1636" t="s">
        <v>2366</v>
      </c>
      <c r="J57" s="1636" t="s">
        <v>2367</v>
      </c>
      <c r="K57" s="1633">
        <v>50</v>
      </c>
      <c r="L57" s="1631">
        <v>1</v>
      </c>
      <c r="M57" s="1632">
        <v>0</v>
      </c>
      <c r="N57" s="1631">
        <v>0</v>
      </c>
      <c r="O57" s="1672">
        <f>IF(Q56&gt;0,N56,"na")</f>
        <v>0</v>
      </c>
      <c r="P57" s="1633">
        <v>45000000</v>
      </c>
      <c r="Q57" s="1633">
        <v>45000000</v>
      </c>
      <c r="R57" s="1633">
        <v>0</v>
      </c>
      <c r="S57" s="1633">
        <v>0</v>
      </c>
      <c r="T57" s="1657">
        <f>IF(Q57=0,0,R57/Q57)</f>
        <v>0</v>
      </c>
      <c r="U57" s="1657">
        <f>IF(R57=0,0,S57/R57)</f>
        <v>0</v>
      </c>
      <c r="V57" s="1658"/>
      <c r="W57" s="1658"/>
      <c r="X57" s="1669"/>
      <c r="Y57" s="3138"/>
    </row>
    <row r="58" spans="1:25" ht="27.6">
      <c r="A58" s="1619"/>
      <c r="B58" s="1662">
        <v>52010050015</v>
      </c>
      <c r="C58" s="1619" t="s">
        <v>117</v>
      </c>
      <c r="D58" s="1654" t="s">
        <v>2368</v>
      </c>
      <c r="E58" s="1621"/>
      <c r="F58" s="1665"/>
      <c r="G58" s="1636"/>
      <c r="H58" s="1665"/>
      <c r="I58" s="1636"/>
      <c r="J58" s="1636"/>
      <c r="K58" s="1644"/>
      <c r="L58" s="1645"/>
      <c r="M58" s="1655"/>
      <c r="N58" s="1645"/>
      <c r="O58" s="1619"/>
      <c r="P58" s="1644"/>
      <c r="Q58" s="1644"/>
      <c r="R58" s="1644"/>
      <c r="S58" s="1644"/>
      <c r="T58" s="1657"/>
      <c r="U58" s="1657"/>
      <c r="V58" s="1658"/>
      <c r="W58" s="1658"/>
      <c r="X58" s="1669"/>
      <c r="Y58" s="1628"/>
    </row>
    <row r="59" spans="1:25">
      <c r="A59" s="3132">
        <v>4146</v>
      </c>
      <c r="B59" s="3132"/>
      <c r="C59" s="3132" t="s">
        <v>123</v>
      </c>
      <c r="D59" s="3134" t="s">
        <v>2369</v>
      </c>
      <c r="E59" s="1621" t="s">
        <v>2370</v>
      </c>
      <c r="F59" s="1619"/>
      <c r="G59" s="1636"/>
      <c r="H59" s="1619"/>
      <c r="I59" s="1636"/>
      <c r="J59" s="1636"/>
      <c r="K59" s="1633">
        <v>3380</v>
      </c>
      <c r="L59" s="1631">
        <v>1</v>
      </c>
      <c r="M59" s="1655"/>
      <c r="N59" s="1631">
        <f>N60</f>
        <v>0</v>
      </c>
      <c r="O59" s="3137">
        <f>IF(Q59&gt;0,N59,"na")</f>
        <v>0</v>
      </c>
      <c r="P59" s="1633">
        <f>P60</f>
        <v>145000000</v>
      </c>
      <c r="Q59" s="1633">
        <f t="shared" ref="Q59:S59" si="19">Q60</f>
        <v>145000000</v>
      </c>
      <c r="R59" s="1633">
        <f t="shared" si="19"/>
        <v>0</v>
      </c>
      <c r="S59" s="1633">
        <f t="shared" si="19"/>
        <v>0</v>
      </c>
      <c r="T59" s="1657">
        <f t="shared" ref="T59:U60" si="20">IF(Q59=0,0,R59/Q59)</f>
        <v>0</v>
      </c>
      <c r="U59" s="1657">
        <f t="shared" si="20"/>
        <v>0</v>
      </c>
      <c r="V59" s="1658"/>
      <c r="W59" s="1658"/>
      <c r="X59" s="1637"/>
      <c r="Y59" s="3131" t="s">
        <v>2287</v>
      </c>
    </row>
    <row r="60" spans="1:25" ht="105.6">
      <c r="A60" s="3132"/>
      <c r="B60" s="3132"/>
      <c r="C60" s="3132"/>
      <c r="D60" s="3134"/>
      <c r="E60" s="1621" t="s">
        <v>2371</v>
      </c>
      <c r="F60" s="1619"/>
      <c r="G60" s="1636" t="s">
        <v>2368</v>
      </c>
      <c r="H60" s="1665"/>
      <c r="I60" s="1636" t="s">
        <v>2372</v>
      </c>
      <c r="J60" s="1636" t="s">
        <v>2299</v>
      </c>
      <c r="K60" s="1633">
        <v>3380</v>
      </c>
      <c r="L60" s="1631">
        <v>1</v>
      </c>
      <c r="M60" s="1632">
        <v>0</v>
      </c>
      <c r="N60" s="1631">
        <v>0</v>
      </c>
      <c r="O60" s="3137"/>
      <c r="P60" s="1633">
        <v>145000000</v>
      </c>
      <c r="Q60" s="1633">
        <v>145000000</v>
      </c>
      <c r="R60" s="1633">
        <v>0</v>
      </c>
      <c r="S60" s="1633">
        <v>0</v>
      </c>
      <c r="T60" s="1657">
        <f t="shared" si="20"/>
        <v>0</v>
      </c>
      <c r="U60" s="1657">
        <f t="shared" si="20"/>
        <v>0</v>
      </c>
      <c r="V60" s="1658"/>
      <c r="W60" s="1658"/>
      <c r="X60" s="1669"/>
      <c r="Y60" s="3131"/>
    </row>
    <row r="61" spans="1:25" ht="27.6">
      <c r="A61" s="1619"/>
      <c r="B61" s="1662">
        <v>52010050016</v>
      </c>
      <c r="C61" s="1619" t="s">
        <v>117</v>
      </c>
      <c r="D61" s="1654" t="s">
        <v>2373</v>
      </c>
      <c r="E61" s="1621"/>
      <c r="F61" s="1619"/>
      <c r="G61" s="1636"/>
      <c r="H61" s="1619"/>
      <c r="I61" s="1636"/>
      <c r="J61" s="1636"/>
      <c r="K61" s="1644"/>
      <c r="L61" s="1645"/>
      <c r="M61" s="1655"/>
      <c r="N61" s="1645"/>
      <c r="O61" s="1656"/>
      <c r="P61" s="1655"/>
      <c r="Q61" s="1644"/>
      <c r="R61" s="1644"/>
      <c r="S61" s="1644"/>
      <c r="T61" s="1657"/>
      <c r="U61" s="1657"/>
      <c r="V61" s="1621"/>
      <c r="W61" s="1621"/>
      <c r="X61" s="1637"/>
      <c r="Y61" s="1664"/>
    </row>
    <row r="62" spans="1:25">
      <c r="A62" s="3132">
        <v>4146</v>
      </c>
      <c r="B62" s="3132"/>
      <c r="C62" s="3132" t="s">
        <v>123</v>
      </c>
      <c r="D62" s="3134" t="s">
        <v>2374</v>
      </c>
      <c r="E62" s="1621" t="s">
        <v>2375</v>
      </c>
      <c r="F62" s="1619"/>
      <c r="G62" s="1636"/>
      <c r="H62" s="1619"/>
      <c r="I62" s="1636"/>
      <c r="J62" s="1636"/>
      <c r="K62" s="1633">
        <v>1</v>
      </c>
      <c r="L62" s="1631">
        <v>1</v>
      </c>
      <c r="M62" s="1655"/>
      <c r="N62" s="1631">
        <f>+N63+N64</f>
        <v>0</v>
      </c>
      <c r="O62" s="3137">
        <f>IF(Q62&gt;0,N62,"na")</f>
        <v>0</v>
      </c>
      <c r="P62" s="1633">
        <f>+P63+P64</f>
        <v>128517628</v>
      </c>
      <c r="Q62" s="1633">
        <f>+Q63+Q64</f>
        <v>128517628</v>
      </c>
      <c r="R62" s="1633">
        <f t="shared" ref="R62:S62" si="21">+R63+R64</f>
        <v>0</v>
      </c>
      <c r="S62" s="1633">
        <f t="shared" si="21"/>
        <v>0</v>
      </c>
      <c r="T62" s="1657">
        <f>IF(Q62=0,0,R62/Q62)</f>
        <v>0</v>
      </c>
      <c r="U62" s="1657">
        <f>IF(R62=0,0,S62/R62)</f>
        <v>0</v>
      </c>
      <c r="V62" s="1658"/>
      <c r="W62" s="1658"/>
      <c r="X62" s="1637"/>
      <c r="Y62" s="3131" t="s">
        <v>2287</v>
      </c>
    </row>
    <row r="63" spans="1:25" ht="118.8">
      <c r="A63" s="3132"/>
      <c r="B63" s="3132"/>
      <c r="C63" s="3132"/>
      <c r="D63" s="3134"/>
      <c r="E63" s="1621" t="s">
        <v>2376</v>
      </c>
      <c r="F63" s="1619"/>
      <c r="G63" s="1636" t="s">
        <v>2373</v>
      </c>
      <c r="H63" s="1619"/>
      <c r="I63" s="1636" t="s">
        <v>2377</v>
      </c>
      <c r="J63" s="1636" t="s">
        <v>2378</v>
      </c>
      <c r="K63" s="1633">
        <v>1</v>
      </c>
      <c r="L63" s="1631">
        <v>0.96</v>
      </c>
      <c r="M63" s="1632">
        <v>0</v>
      </c>
      <c r="N63" s="1631">
        <v>0</v>
      </c>
      <c r="O63" s="3137"/>
      <c r="P63" s="1633">
        <v>127644028</v>
      </c>
      <c r="Q63" s="1633">
        <v>127644028</v>
      </c>
      <c r="R63" s="1633">
        <v>0</v>
      </c>
      <c r="S63" s="1633">
        <v>0</v>
      </c>
      <c r="T63" s="1657">
        <f t="shared" ref="T63:U70" si="22">IF(Q63=0,0,R63/Q63)</f>
        <v>0</v>
      </c>
      <c r="U63" s="1657">
        <f t="shared" si="22"/>
        <v>0</v>
      </c>
      <c r="V63" s="1658"/>
      <c r="W63" s="1658"/>
      <c r="X63" s="1637"/>
      <c r="Y63" s="3131"/>
    </row>
    <row r="64" spans="1:25" ht="39.6">
      <c r="A64" s="3132"/>
      <c r="B64" s="3132"/>
      <c r="C64" s="3132"/>
      <c r="D64" s="3134"/>
      <c r="E64" s="1621" t="s">
        <v>2379</v>
      </c>
      <c r="F64" s="1619"/>
      <c r="G64" s="1636"/>
      <c r="H64" s="1619"/>
      <c r="I64" s="1636" t="s">
        <v>2380</v>
      </c>
      <c r="J64" s="1636" t="s">
        <v>2381</v>
      </c>
      <c r="K64" s="1667">
        <v>28</v>
      </c>
      <c r="L64" s="1668">
        <v>0.04</v>
      </c>
      <c r="M64" s="1632">
        <v>0</v>
      </c>
      <c r="N64" s="1631">
        <v>0</v>
      </c>
      <c r="O64" s="3137"/>
      <c r="P64" s="1633">
        <v>873600</v>
      </c>
      <c r="Q64" s="1633">
        <v>873600</v>
      </c>
      <c r="R64" s="1633">
        <v>0</v>
      </c>
      <c r="S64" s="1633">
        <v>0</v>
      </c>
      <c r="T64" s="1657">
        <f>IF(Q64=0,0,R64/Q64)</f>
        <v>0</v>
      </c>
      <c r="U64" s="1657">
        <f>IF(R64=0,0,S64/R64)</f>
        <v>0</v>
      </c>
      <c r="V64" s="1658"/>
      <c r="W64" s="1658"/>
      <c r="X64" s="1637"/>
      <c r="Y64" s="3131"/>
    </row>
    <row r="65" spans="1:25">
      <c r="A65" s="1619"/>
      <c r="B65" s="1662">
        <v>52010050017</v>
      </c>
      <c r="C65" s="1619" t="s">
        <v>117</v>
      </c>
      <c r="D65" s="1654" t="s">
        <v>2382</v>
      </c>
      <c r="E65" s="1621"/>
      <c r="F65" s="1619"/>
      <c r="G65" s="1636"/>
      <c r="H65" s="1619"/>
      <c r="I65" s="1636"/>
      <c r="J65" s="1636"/>
      <c r="K65" s="1644"/>
      <c r="L65" s="1673"/>
      <c r="M65" s="1655"/>
      <c r="N65" s="1645"/>
      <c r="O65" s="1656"/>
      <c r="P65" s="1655"/>
      <c r="Q65" s="1644"/>
      <c r="R65" s="1644"/>
      <c r="S65" s="1644"/>
      <c r="T65" s="1657"/>
      <c r="U65" s="1657"/>
      <c r="V65" s="1621"/>
      <c r="W65" s="1621"/>
      <c r="X65" s="1637"/>
      <c r="Y65" s="1664"/>
    </row>
    <row r="66" spans="1:25">
      <c r="A66" s="3132">
        <v>4146</v>
      </c>
      <c r="B66" s="3132"/>
      <c r="C66" s="3143" t="s">
        <v>123</v>
      </c>
      <c r="D66" s="3134" t="s">
        <v>2383</v>
      </c>
      <c r="E66" s="1621" t="s">
        <v>2384</v>
      </c>
      <c r="F66" s="1619"/>
      <c r="G66" s="1636"/>
      <c r="H66" s="1619"/>
      <c r="I66" s="1636"/>
      <c r="J66" s="1636"/>
      <c r="K66" s="1633">
        <v>1</v>
      </c>
      <c r="L66" s="1631">
        <v>1</v>
      </c>
      <c r="M66" s="1655"/>
      <c r="N66" s="1631">
        <f>+N67</f>
        <v>0</v>
      </c>
      <c r="O66" s="3137">
        <f>IF(Q66&gt;0,N66,"na")</f>
        <v>0</v>
      </c>
      <c r="P66" s="1633">
        <f>+P67</f>
        <v>128793345</v>
      </c>
      <c r="Q66" s="1633">
        <f>+Q67</f>
        <v>128793345</v>
      </c>
      <c r="R66" s="1633">
        <f>+R67</f>
        <v>0</v>
      </c>
      <c r="S66" s="1633">
        <f>+S67</f>
        <v>0</v>
      </c>
      <c r="T66" s="1657">
        <f t="shared" si="22"/>
        <v>0</v>
      </c>
      <c r="U66" s="1657">
        <f t="shared" si="22"/>
        <v>0</v>
      </c>
      <c r="V66" s="1658"/>
      <c r="W66" s="1658"/>
      <c r="X66" s="1637"/>
      <c r="Y66" s="3131" t="s">
        <v>2287</v>
      </c>
    </row>
    <row r="67" spans="1:25" ht="66">
      <c r="A67" s="3132"/>
      <c r="B67" s="3132"/>
      <c r="C67" s="3132"/>
      <c r="D67" s="3135"/>
      <c r="E67" s="1621" t="s">
        <v>2385</v>
      </c>
      <c r="F67" s="1619"/>
      <c r="G67" s="1636" t="s">
        <v>2382</v>
      </c>
      <c r="H67" s="1619"/>
      <c r="I67" s="1636" t="s">
        <v>2386</v>
      </c>
      <c r="J67" s="1636" t="s">
        <v>2353</v>
      </c>
      <c r="K67" s="1633">
        <v>450</v>
      </c>
      <c r="L67" s="1631">
        <v>1</v>
      </c>
      <c r="M67" s="1632">
        <v>0</v>
      </c>
      <c r="N67" s="1631">
        <v>0</v>
      </c>
      <c r="O67" s="3132"/>
      <c r="P67" s="1633">
        <v>128793345</v>
      </c>
      <c r="Q67" s="1633">
        <v>128793345</v>
      </c>
      <c r="R67" s="1633">
        <v>0</v>
      </c>
      <c r="S67" s="1633">
        <v>0</v>
      </c>
      <c r="T67" s="1657">
        <f t="shared" si="22"/>
        <v>0</v>
      </c>
      <c r="U67" s="1657">
        <f>IF(R67=0,0,S67/R67)</f>
        <v>0</v>
      </c>
      <c r="V67" s="1658"/>
      <c r="W67" s="1658"/>
      <c r="X67" s="1637"/>
      <c r="Y67" s="3138"/>
    </row>
    <row r="68" spans="1:25" ht="41.4">
      <c r="A68" s="1619"/>
      <c r="B68" s="1662">
        <v>52010050018</v>
      </c>
      <c r="C68" s="1619" t="s">
        <v>117</v>
      </c>
      <c r="D68" s="1654" t="s">
        <v>2387</v>
      </c>
      <c r="E68" s="1621"/>
      <c r="F68" s="1619"/>
      <c r="G68" s="1636"/>
      <c r="H68" s="1619"/>
      <c r="I68" s="1636"/>
      <c r="J68" s="1636"/>
      <c r="K68" s="1644"/>
      <c r="L68" s="1673"/>
      <c r="M68" s="1655"/>
      <c r="N68" s="1645"/>
      <c r="O68" s="1656"/>
      <c r="P68" s="1655"/>
      <c r="Q68" s="1644"/>
      <c r="R68" s="1644"/>
      <c r="S68" s="1644"/>
      <c r="T68" s="1657"/>
      <c r="U68" s="1657"/>
      <c r="V68" s="1621"/>
      <c r="W68" s="1621"/>
      <c r="X68" s="1637"/>
      <c r="Y68" s="1664"/>
    </row>
    <row r="69" spans="1:25">
      <c r="A69" s="3132">
        <v>4146</v>
      </c>
      <c r="B69" s="3132"/>
      <c r="C69" s="3143" t="s">
        <v>123</v>
      </c>
      <c r="D69" s="3134" t="s">
        <v>2388</v>
      </c>
      <c r="E69" s="1621" t="s">
        <v>2389</v>
      </c>
      <c r="F69" s="1619"/>
      <c r="G69" s="1636"/>
      <c r="H69" s="1619"/>
      <c r="I69" s="1636"/>
      <c r="J69" s="1636"/>
      <c r="K69" s="1633">
        <v>4</v>
      </c>
      <c r="L69" s="1631">
        <v>1</v>
      </c>
      <c r="M69" s="1655"/>
      <c r="N69" s="1631">
        <f>N70</f>
        <v>0</v>
      </c>
      <c r="O69" s="3137">
        <f>IF(Q69&gt;0,N69,"na")</f>
        <v>0</v>
      </c>
      <c r="P69" s="1633">
        <f>P70</f>
        <v>65000000</v>
      </c>
      <c r="Q69" s="1633">
        <f t="shared" ref="Q69:S69" si="23">Q70</f>
        <v>65000000</v>
      </c>
      <c r="R69" s="1633">
        <f t="shared" si="23"/>
        <v>0</v>
      </c>
      <c r="S69" s="1633">
        <f t="shared" si="23"/>
        <v>0</v>
      </c>
      <c r="T69" s="1657">
        <f t="shared" si="22"/>
        <v>0</v>
      </c>
      <c r="U69" s="1657">
        <f t="shared" si="22"/>
        <v>0</v>
      </c>
      <c r="V69" s="1658"/>
      <c r="W69" s="1658"/>
      <c r="X69" s="1637"/>
      <c r="Y69" s="3131" t="s">
        <v>2287</v>
      </c>
    </row>
    <row r="70" spans="1:25" ht="105.6">
      <c r="A70" s="3132"/>
      <c r="B70" s="3132"/>
      <c r="C70" s="3132"/>
      <c r="D70" s="3135"/>
      <c r="E70" s="1621" t="s">
        <v>2390</v>
      </c>
      <c r="F70" s="1619"/>
      <c r="G70" s="1636" t="s">
        <v>2391</v>
      </c>
      <c r="H70" s="1619"/>
      <c r="I70" s="1636" t="s">
        <v>2392</v>
      </c>
      <c r="J70" s="1636" t="s">
        <v>2393</v>
      </c>
      <c r="K70" s="1633">
        <v>4</v>
      </c>
      <c r="L70" s="1631">
        <v>1</v>
      </c>
      <c r="M70" s="1632">
        <v>0</v>
      </c>
      <c r="N70" s="1631">
        <v>0</v>
      </c>
      <c r="O70" s="3132"/>
      <c r="P70" s="1633">
        <v>65000000</v>
      </c>
      <c r="Q70" s="1633">
        <v>65000000</v>
      </c>
      <c r="R70" s="1633">
        <v>0</v>
      </c>
      <c r="S70" s="1633">
        <v>0</v>
      </c>
      <c r="T70" s="1657">
        <f t="shared" si="22"/>
        <v>0</v>
      </c>
      <c r="U70" s="1657">
        <f t="shared" si="22"/>
        <v>0</v>
      </c>
      <c r="V70" s="1658"/>
      <c r="W70" s="1658"/>
      <c r="X70" s="1637"/>
      <c r="Y70" s="3138"/>
    </row>
    <row r="71" spans="1:25" ht="15.6">
      <c r="A71" s="1640"/>
      <c r="B71" s="1640">
        <v>5202</v>
      </c>
      <c r="C71" s="1640" t="s">
        <v>115</v>
      </c>
      <c r="D71" s="1642" t="s">
        <v>2394</v>
      </c>
      <c r="E71" s="1639"/>
      <c r="F71" s="1640"/>
      <c r="G71" s="1642"/>
      <c r="H71" s="1640"/>
      <c r="I71" s="1643"/>
      <c r="J71" s="1643"/>
      <c r="K71" s="1644"/>
      <c r="L71" s="1645"/>
      <c r="M71" s="1644"/>
      <c r="N71" s="1645"/>
      <c r="O71" s="1646"/>
      <c r="P71" s="1655"/>
      <c r="Q71" s="1644"/>
      <c r="R71" s="1644"/>
      <c r="S71" s="1644"/>
      <c r="T71" s="1645"/>
      <c r="U71" s="1645"/>
      <c r="V71" s="1639"/>
      <c r="W71" s="1639"/>
      <c r="X71" s="1647"/>
      <c r="Y71" s="1674"/>
    </row>
    <row r="72" spans="1:25">
      <c r="A72" s="1606"/>
      <c r="B72" s="1606">
        <v>5202001</v>
      </c>
      <c r="C72" s="1606" t="s">
        <v>116</v>
      </c>
      <c r="D72" s="1649" t="s">
        <v>2395</v>
      </c>
      <c r="E72" s="1608"/>
      <c r="F72" s="1606"/>
      <c r="G72" s="1607"/>
      <c r="H72" s="1608"/>
      <c r="I72" s="1649"/>
      <c r="J72" s="1649"/>
      <c r="K72" s="1650"/>
      <c r="L72" s="1675"/>
      <c r="M72" s="1650"/>
      <c r="N72" s="1645"/>
      <c r="O72" s="1651"/>
      <c r="P72" s="1655"/>
      <c r="Q72" s="1644"/>
      <c r="R72" s="1644"/>
      <c r="S72" s="1644"/>
      <c r="T72" s="1645"/>
      <c r="U72" s="1645"/>
      <c r="V72" s="1608"/>
      <c r="W72" s="1608"/>
      <c r="X72" s="1653"/>
      <c r="Y72" s="1676"/>
    </row>
    <row r="73" spans="1:25">
      <c r="A73" s="1606"/>
      <c r="B73" s="1662">
        <v>52020010001</v>
      </c>
      <c r="C73" s="1662" t="s">
        <v>117</v>
      </c>
      <c r="D73" s="1654" t="s">
        <v>2396</v>
      </c>
      <c r="E73" s="1608"/>
      <c r="F73" s="1619"/>
      <c r="G73" s="1607"/>
      <c r="H73" s="1621"/>
      <c r="I73" s="1649"/>
      <c r="J73" s="1649"/>
      <c r="K73" s="1650"/>
      <c r="L73" s="1675"/>
      <c r="M73" s="1650"/>
      <c r="N73" s="1645"/>
      <c r="O73" s="1651"/>
      <c r="P73" s="1655"/>
      <c r="Q73" s="1644"/>
      <c r="R73" s="1644"/>
      <c r="S73" s="1644"/>
      <c r="T73" s="1645"/>
      <c r="U73" s="1645"/>
      <c r="V73" s="1608"/>
      <c r="W73" s="1608"/>
      <c r="X73" s="1653"/>
      <c r="Y73" s="1676"/>
    </row>
    <row r="74" spans="1:25">
      <c r="A74" s="3131">
        <v>4146</v>
      </c>
      <c r="B74" s="3145"/>
      <c r="C74" s="3132" t="s">
        <v>123</v>
      </c>
      <c r="D74" s="3134" t="s">
        <v>2397</v>
      </c>
      <c r="E74" s="1621" t="s">
        <v>2398</v>
      </c>
      <c r="F74" s="1606"/>
      <c r="G74" s="1607"/>
      <c r="H74" s="1608"/>
      <c r="I74" s="1649"/>
      <c r="J74" s="1649"/>
      <c r="K74" s="1633">
        <v>1</v>
      </c>
      <c r="L74" s="1631">
        <v>1</v>
      </c>
      <c r="M74" s="1650"/>
      <c r="N74" s="1631">
        <f>N75</f>
        <v>0</v>
      </c>
      <c r="O74" s="3137">
        <f>IF(Q74&gt;0,N74,"na")</f>
        <v>0</v>
      </c>
      <c r="P74" s="1655">
        <f>+P75</f>
        <v>124435440</v>
      </c>
      <c r="Q74" s="1633">
        <f>+Q75</f>
        <v>124435440</v>
      </c>
      <c r="R74" s="1633">
        <f>+R75</f>
        <v>0</v>
      </c>
      <c r="S74" s="1633">
        <f>+S75</f>
        <v>0</v>
      </c>
      <c r="T74" s="1631">
        <f>IF(Q74=0,0,R74/Q74)</f>
        <v>0</v>
      </c>
      <c r="U74" s="1631">
        <f t="shared" ref="U74" si="24">IF(R74=0,0,S74/R74)</f>
        <v>0</v>
      </c>
      <c r="V74" s="1608"/>
      <c r="W74" s="1608"/>
      <c r="X74" s="1653"/>
      <c r="Y74" s="3131" t="s">
        <v>2399</v>
      </c>
    </row>
    <row r="75" spans="1:25" ht="79.2">
      <c r="A75" s="3131"/>
      <c r="B75" s="3145"/>
      <c r="C75" s="3132"/>
      <c r="D75" s="3134"/>
      <c r="E75" s="1621" t="s">
        <v>2400</v>
      </c>
      <c r="F75" s="1606"/>
      <c r="G75" s="1636" t="s">
        <v>2396</v>
      </c>
      <c r="H75" s="1621"/>
      <c r="I75" s="1636" t="s">
        <v>2401</v>
      </c>
      <c r="J75" s="1636" t="s">
        <v>2402</v>
      </c>
      <c r="K75" s="1633">
        <v>5</v>
      </c>
      <c r="L75" s="1631">
        <v>1</v>
      </c>
      <c r="M75" s="1632">
        <v>0</v>
      </c>
      <c r="N75" s="1631">
        <v>0</v>
      </c>
      <c r="O75" s="3137"/>
      <c r="P75" s="1655">
        <v>124435440</v>
      </c>
      <c r="Q75" s="1633">
        <v>124435440</v>
      </c>
      <c r="R75" s="1633">
        <v>0</v>
      </c>
      <c r="S75" s="1633">
        <v>0</v>
      </c>
      <c r="T75" s="1631">
        <f>IF(Q75=0,0,R75/Q75)</f>
        <v>0</v>
      </c>
      <c r="U75" s="1631">
        <f>IF(R75=0,0,S75/R75)</f>
        <v>0</v>
      </c>
      <c r="V75" s="1658"/>
      <c r="W75" s="1658"/>
      <c r="X75" s="1637"/>
      <c r="Y75" s="3131"/>
    </row>
    <row r="76" spans="1:25" ht="27.6">
      <c r="A76" s="1606"/>
      <c r="B76" s="1662">
        <v>52020010002</v>
      </c>
      <c r="C76" s="1662" t="s">
        <v>117</v>
      </c>
      <c r="D76" s="1654" t="s">
        <v>2403</v>
      </c>
      <c r="E76" s="1608"/>
      <c r="F76" s="1619"/>
      <c r="G76" s="1607"/>
      <c r="H76" s="1662"/>
      <c r="I76" s="1649"/>
      <c r="J76" s="1649"/>
      <c r="K76" s="1650"/>
      <c r="L76" s="1675"/>
      <c r="M76" s="1650"/>
      <c r="N76" s="1645"/>
      <c r="O76" s="1651"/>
      <c r="P76" s="1655"/>
      <c r="Q76" s="1644"/>
      <c r="R76" s="1644"/>
      <c r="S76" s="1644"/>
      <c r="T76" s="1645"/>
      <c r="U76" s="1645"/>
      <c r="V76" s="1608"/>
      <c r="W76" s="1608"/>
      <c r="X76" s="1653"/>
      <c r="Y76" s="1676"/>
    </row>
    <row r="77" spans="1:25">
      <c r="A77" s="1606"/>
      <c r="B77" s="1606"/>
      <c r="C77" s="1606"/>
      <c r="D77" s="1649"/>
      <c r="E77" s="1621" t="s">
        <v>2404</v>
      </c>
      <c r="F77" s="1606"/>
      <c r="G77" s="1607"/>
      <c r="H77" s="1608"/>
      <c r="I77" s="1649"/>
      <c r="J77" s="1649"/>
      <c r="K77" s="1633">
        <v>18</v>
      </c>
      <c r="L77" s="1631">
        <v>1</v>
      </c>
      <c r="M77" s="1650"/>
      <c r="N77" s="1631">
        <f>N78</f>
        <v>0</v>
      </c>
      <c r="O77" s="3137">
        <f>IF(Q77&gt;0,N77,"na")</f>
        <v>0</v>
      </c>
      <c r="P77" s="1655">
        <f>P78</f>
        <v>1000000000</v>
      </c>
      <c r="Q77" s="1655">
        <f t="shared" ref="Q77:S77" si="25">Q78</f>
        <v>1000000000</v>
      </c>
      <c r="R77" s="1655">
        <f t="shared" si="25"/>
        <v>0</v>
      </c>
      <c r="S77" s="1655">
        <f t="shared" si="25"/>
        <v>0</v>
      </c>
      <c r="T77" s="1631">
        <f>IF(Q77=0,0,R77/Q77)</f>
        <v>0</v>
      </c>
      <c r="U77" s="1631">
        <f t="shared" ref="U77" si="26">IF(R77=0,0,S77/R77)</f>
        <v>0</v>
      </c>
      <c r="V77" s="1608"/>
      <c r="W77" s="1608"/>
      <c r="X77" s="1653"/>
      <c r="Y77" s="3131" t="s">
        <v>2399</v>
      </c>
    </row>
    <row r="78" spans="1:25" ht="92.4">
      <c r="A78" s="1619">
        <v>4146</v>
      </c>
      <c r="B78" s="1606"/>
      <c r="C78" s="1619" t="s">
        <v>123</v>
      </c>
      <c r="D78" s="1636" t="s">
        <v>2405</v>
      </c>
      <c r="E78" s="1621" t="s">
        <v>2406</v>
      </c>
      <c r="F78" s="1606"/>
      <c r="G78" s="1636" t="s">
        <v>2403</v>
      </c>
      <c r="H78" s="1621"/>
      <c r="I78" s="1636" t="s">
        <v>2407</v>
      </c>
      <c r="J78" s="1636" t="s">
        <v>2408</v>
      </c>
      <c r="K78" s="1655">
        <v>18</v>
      </c>
      <c r="L78" s="1673">
        <v>1</v>
      </c>
      <c r="M78" s="1632">
        <v>0</v>
      </c>
      <c r="N78" s="1631">
        <v>0</v>
      </c>
      <c r="O78" s="3137"/>
      <c r="P78" s="1655">
        <v>1000000000</v>
      </c>
      <c r="Q78" s="1633">
        <v>1000000000</v>
      </c>
      <c r="R78" s="1633">
        <v>0</v>
      </c>
      <c r="S78" s="1633">
        <v>0</v>
      </c>
      <c r="T78" s="1631">
        <f>IF(Q78=0,0,R78/Q78)</f>
        <v>0</v>
      </c>
      <c r="U78" s="1631">
        <f>IF(R78=0,0,S78/R78)</f>
        <v>0</v>
      </c>
      <c r="V78" s="1658"/>
      <c r="W78" s="1658"/>
      <c r="X78" s="1637"/>
      <c r="Y78" s="3131" t="s">
        <v>2399</v>
      </c>
    </row>
    <row r="79" spans="1:25" ht="27.6">
      <c r="A79" s="1619"/>
      <c r="B79" s="1662">
        <v>52020010003</v>
      </c>
      <c r="C79" s="1662" t="s">
        <v>117</v>
      </c>
      <c r="D79" s="1654" t="s">
        <v>2409</v>
      </c>
      <c r="E79" s="1621"/>
      <c r="F79" s="1665"/>
      <c r="G79" s="1620"/>
      <c r="H79" s="1665"/>
      <c r="I79" s="1636"/>
      <c r="J79" s="1620"/>
      <c r="K79" s="1644"/>
      <c r="L79" s="1645"/>
      <c r="M79" s="1644"/>
      <c r="N79" s="1645"/>
      <c r="O79" s="1656"/>
      <c r="P79" s="1644"/>
      <c r="Q79" s="1644"/>
      <c r="R79" s="1644"/>
      <c r="S79" s="1644"/>
      <c r="T79" s="1657"/>
      <c r="U79" s="1657"/>
      <c r="V79" s="1619"/>
      <c r="W79" s="1619"/>
      <c r="X79" s="1637"/>
      <c r="Y79" s="1628"/>
    </row>
    <row r="80" spans="1:25">
      <c r="A80" s="3132">
        <v>4146</v>
      </c>
      <c r="B80" s="3132"/>
      <c r="C80" s="3132" t="s">
        <v>123</v>
      </c>
      <c r="D80" s="3134" t="s">
        <v>2410</v>
      </c>
      <c r="E80" s="1621" t="s">
        <v>2411</v>
      </c>
      <c r="F80" s="1619"/>
      <c r="G80" s="1620"/>
      <c r="H80" s="1619"/>
      <c r="I80" s="1636"/>
      <c r="J80" s="1620"/>
      <c r="K80" s="1633">
        <v>10161</v>
      </c>
      <c r="L80" s="1631">
        <v>1</v>
      </c>
      <c r="M80" s="1633"/>
      <c r="N80" s="1631">
        <f>+N81+N82+N83</f>
        <v>0.05</v>
      </c>
      <c r="O80" s="3137">
        <f>IF(Q80&gt;0,N80,"na")</f>
        <v>0.05</v>
      </c>
      <c r="P80" s="1633">
        <f>+P81+P82+P83</f>
        <v>42287696805</v>
      </c>
      <c r="Q80" s="1633">
        <f t="shared" ref="Q80" si="27">+Q81+Q82+Q83</f>
        <v>42287696805</v>
      </c>
      <c r="R80" s="1633">
        <f>+R81+R82+R83</f>
        <v>5610113559</v>
      </c>
      <c r="S80" s="1633">
        <f>+S81+S82+S83</f>
        <v>164874120</v>
      </c>
      <c r="T80" s="1657">
        <f>IF(Q80=0,0,R80/Q80)</f>
        <v>0.1326653845649185</v>
      </c>
      <c r="U80" s="1657">
        <f>IF(R80=0,0,S80/R80)</f>
        <v>2.9388731309280079E-2</v>
      </c>
      <c r="V80" s="1658"/>
      <c r="W80" s="1658"/>
      <c r="X80" s="1637"/>
      <c r="Y80" s="3131" t="s">
        <v>2399</v>
      </c>
    </row>
    <row r="81" spans="1:25" ht="118.8">
      <c r="A81" s="3132"/>
      <c r="B81" s="3132"/>
      <c r="C81" s="3132"/>
      <c r="D81" s="3135"/>
      <c r="E81" s="1621" t="s">
        <v>2412</v>
      </c>
      <c r="F81" s="1619"/>
      <c r="G81" s="1636" t="s">
        <v>2409</v>
      </c>
      <c r="H81" s="1665"/>
      <c r="I81" s="1629" t="s">
        <v>2413</v>
      </c>
      <c r="J81" s="1636" t="s">
        <v>2414</v>
      </c>
      <c r="K81" s="1633">
        <v>10161</v>
      </c>
      <c r="L81" s="1631">
        <v>0.5</v>
      </c>
      <c r="M81" s="1632">
        <v>0</v>
      </c>
      <c r="N81" s="1631">
        <v>0.03</v>
      </c>
      <c r="O81" s="3132"/>
      <c r="P81" s="1633">
        <v>38895382925</v>
      </c>
      <c r="Q81" s="1677">
        <v>38895382925</v>
      </c>
      <c r="R81" s="1677">
        <v>4943378059</v>
      </c>
      <c r="S81" s="1677">
        <v>192620</v>
      </c>
      <c r="T81" s="1657">
        <f t="shared" ref="T81:U83" si="28">IF(Q81=0,0,R81/Q81)</f>
        <v>0.12709421240387492</v>
      </c>
      <c r="U81" s="1657">
        <f>IF(R81=0,0,S81/R81)</f>
        <v>3.8965257704559471E-5</v>
      </c>
      <c r="V81" s="1658">
        <v>45315</v>
      </c>
      <c r="W81" s="1658">
        <v>45657</v>
      </c>
      <c r="X81" s="1669" t="s">
        <v>2415</v>
      </c>
      <c r="Y81" s="3138"/>
    </row>
    <row r="82" spans="1:25" ht="39.6">
      <c r="A82" s="3132"/>
      <c r="B82" s="3132"/>
      <c r="C82" s="3132"/>
      <c r="D82" s="3135"/>
      <c r="E82" s="1621" t="s">
        <v>2416</v>
      </c>
      <c r="F82" s="1619"/>
      <c r="G82" s="1636"/>
      <c r="H82" s="1665"/>
      <c r="I82" s="1629" t="s">
        <v>2417</v>
      </c>
      <c r="J82" s="1636" t="s">
        <v>2418</v>
      </c>
      <c r="K82" s="1633">
        <v>18</v>
      </c>
      <c r="L82" s="1631">
        <v>0.3</v>
      </c>
      <c r="M82" s="1632">
        <v>0</v>
      </c>
      <c r="N82" s="1631">
        <v>0</v>
      </c>
      <c r="O82" s="3132"/>
      <c r="P82" s="1633">
        <v>428000000</v>
      </c>
      <c r="Q82" s="1677">
        <v>428000000</v>
      </c>
      <c r="R82" s="1677">
        <v>0</v>
      </c>
      <c r="S82" s="1677">
        <v>0</v>
      </c>
      <c r="T82" s="1657">
        <f>IF(Q82=0,0,R82/Q82)</f>
        <v>0</v>
      </c>
      <c r="U82" s="1657">
        <f>IF(R82=0,0,S82/R82)</f>
        <v>0</v>
      </c>
      <c r="V82" s="1658"/>
      <c r="W82" s="1658"/>
      <c r="X82" s="1669"/>
      <c r="Y82" s="3138"/>
    </row>
    <row r="83" spans="1:25" ht="66">
      <c r="A83" s="3132"/>
      <c r="B83" s="3132"/>
      <c r="C83" s="3132"/>
      <c r="D83" s="3135"/>
      <c r="E83" s="1621" t="s">
        <v>2419</v>
      </c>
      <c r="F83" s="1619"/>
      <c r="G83" s="1636"/>
      <c r="H83" s="1619"/>
      <c r="I83" s="1629" t="s">
        <v>2420</v>
      </c>
      <c r="J83" s="1636" t="s">
        <v>2421</v>
      </c>
      <c r="K83" s="1667">
        <v>1492</v>
      </c>
      <c r="L83" s="1668">
        <v>0.2</v>
      </c>
      <c r="M83" s="1632">
        <v>0</v>
      </c>
      <c r="N83" s="1631">
        <v>0.02</v>
      </c>
      <c r="O83" s="3132"/>
      <c r="P83" s="1633">
        <v>2964313880</v>
      </c>
      <c r="Q83" s="1633">
        <v>2964313880</v>
      </c>
      <c r="R83" s="1633">
        <v>666735500</v>
      </c>
      <c r="S83" s="1633">
        <v>164681500</v>
      </c>
      <c r="T83" s="1657">
        <f t="shared" si="28"/>
        <v>0.22492068215124372</v>
      </c>
      <c r="U83" s="1657">
        <f t="shared" si="28"/>
        <v>0.24699674758581178</v>
      </c>
      <c r="V83" s="1658">
        <v>45315</v>
      </c>
      <c r="W83" s="1658">
        <v>45657</v>
      </c>
      <c r="X83" s="1669" t="s">
        <v>2422</v>
      </c>
      <c r="Y83" s="3138"/>
    </row>
    <row r="84" spans="1:25" ht="27.6">
      <c r="A84" s="1619"/>
      <c r="B84" s="1619">
        <v>52020010004</v>
      </c>
      <c r="C84" s="1619" t="s">
        <v>117</v>
      </c>
      <c r="D84" s="1654" t="s">
        <v>2423</v>
      </c>
      <c r="E84" s="1621"/>
      <c r="F84" s="1678"/>
      <c r="G84" s="1636"/>
      <c r="H84" s="1619"/>
      <c r="I84" s="1629"/>
      <c r="J84" s="1636"/>
      <c r="K84" s="1667"/>
      <c r="L84" s="1668"/>
      <c r="M84" s="1633"/>
      <c r="N84" s="1631"/>
      <c r="O84" s="1619"/>
      <c r="P84" s="1633"/>
      <c r="Q84" s="1633"/>
      <c r="R84" s="1633"/>
      <c r="S84" s="1633"/>
      <c r="T84" s="1657"/>
      <c r="U84" s="1657"/>
      <c r="V84" s="1658"/>
      <c r="W84" s="1658"/>
      <c r="X84" s="1669"/>
      <c r="Y84" s="1638"/>
    </row>
    <row r="85" spans="1:25">
      <c r="A85" s="3132">
        <v>4146</v>
      </c>
      <c r="B85" s="3132"/>
      <c r="C85" s="3132" t="s">
        <v>123</v>
      </c>
      <c r="D85" s="3134" t="s">
        <v>2424</v>
      </c>
      <c r="E85" s="1621" t="s">
        <v>2425</v>
      </c>
      <c r="F85" s="1619"/>
      <c r="G85" s="1636"/>
      <c r="H85" s="1619"/>
      <c r="I85" s="1629"/>
      <c r="J85" s="1636"/>
      <c r="K85" s="1667">
        <v>1</v>
      </c>
      <c r="L85" s="1668">
        <v>1</v>
      </c>
      <c r="M85" s="1633"/>
      <c r="N85" s="1631">
        <f>N86+N87</f>
        <v>0</v>
      </c>
      <c r="O85" s="3137">
        <f>IF(Q85&gt;0,N85,"na")</f>
        <v>0</v>
      </c>
      <c r="P85" s="1633">
        <f>P86+P87</f>
        <v>214232320</v>
      </c>
      <c r="Q85" s="1633">
        <f t="shared" ref="Q85:S85" si="29">Q86+Q87</f>
        <v>214232320</v>
      </c>
      <c r="R85" s="1633">
        <f t="shared" si="29"/>
        <v>0</v>
      </c>
      <c r="S85" s="1633">
        <f t="shared" si="29"/>
        <v>0</v>
      </c>
      <c r="T85" s="1657">
        <f>IF(Q85=0,0,R85/Q85)</f>
        <v>0</v>
      </c>
      <c r="U85" s="1657">
        <f t="shared" ref="U85" si="30">IF(R85=0,0,S85/R85)</f>
        <v>0</v>
      </c>
      <c r="V85" s="1658"/>
      <c r="W85" s="1658"/>
      <c r="X85" s="1669"/>
      <c r="Y85" s="3131" t="s">
        <v>2399</v>
      </c>
    </row>
    <row r="86" spans="1:25" ht="105.6">
      <c r="A86" s="3132"/>
      <c r="B86" s="3132"/>
      <c r="C86" s="3132"/>
      <c r="D86" s="3134"/>
      <c r="E86" s="1621" t="s">
        <v>2426</v>
      </c>
      <c r="F86" s="1619"/>
      <c r="G86" s="1636" t="s">
        <v>2423</v>
      </c>
      <c r="H86" s="1619"/>
      <c r="I86" s="1636" t="s">
        <v>2427</v>
      </c>
      <c r="J86" s="1636" t="s">
        <v>1586</v>
      </c>
      <c r="K86" s="1667">
        <v>1</v>
      </c>
      <c r="L86" s="1668">
        <v>0.6</v>
      </c>
      <c r="M86" s="1632">
        <v>0</v>
      </c>
      <c r="N86" s="1631">
        <v>0</v>
      </c>
      <c r="O86" s="3137"/>
      <c r="P86" s="1633">
        <v>114232320</v>
      </c>
      <c r="Q86" s="1633">
        <v>114232320</v>
      </c>
      <c r="R86" s="1633">
        <v>0</v>
      </c>
      <c r="S86" s="1633">
        <v>0</v>
      </c>
      <c r="T86" s="1657">
        <f t="shared" ref="T86:U87" si="31">IF(Q86=0,0,R86/Q86)</f>
        <v>0</v>
      </c>
      <c r="U86" s="1657">
        <f>IF(R86=0,0,S86/R86)</f>
        <v>0</v>
      </c>
      <c r="V86" s="1658"/>
      <c r="W86" s="1658"/>
      <c r="X86" s="1669"/>
      <c r="Y86" s="3131"/>
    </row>
    <row r="87" spans="1:25" ht="79.2">
      <c r="A87" s="3132"/>
      <c r="B87" s="3132"/>
      <c r="C87" s="3132"/>
      <c r="D87" s="3134"/>
      <c r="E87" s="1621" t="s">
        <v>2428</v>
      </c>
      <c r="F87" s="1619"/>
      <c r="G87" s="1636"/>
      <c r="H87" s="1619"/>
      <c r="I87" s="1636" t="s">
        <v>2429</v>
      </c>
      <c r="J87" s="1636" t="s">
        <v>1369</v>
      </c>
      <c r="K87" s="1667">
        <v>18</v>
      </c>
      <c r="L87" s="1668">
        <v>0.4</v>
      </c>
      <c r="M87" s="1632">
        <v>0</v>
      </c>
      <c r="N87" s="1631">
        <v>0</v>
      </c>
      <c r="O87" s="3137"/>
      <c r="P87" s="1633">
        <v>100000000</v>
      </c>
      <c r="Q87" s="1633">
        <v>100000000</v>
      </c>
      <c r="R87" s="1633">
        <v>0</v>
      </c>
      <c r="S87" s="1633">
        <v>0</v>
      </c>
      <c r="T87" s="1657">
        <f t="shared" si="31"/>
        <v>0</v>
      </c>
      <c r="U87" s="1657">
        <f t="shared" si="31"/>
        <v>0</v>
      </c>
      <c r="V87" s="1658"/>
      <c r="W87" s="1658"/>
      <c r="X87" s="1669"/>
      <c r="Y87" s="3131"/>
    </row>
    <row r="88" spans="1:25" ht="27.6">
      <c r="A88" s="1619"/>
      <c r="B88" s="1619">
        <v>52020010005</v>
      </c>
      <c r="C88" s="1619" t="s">
        <v>117</v>
      </c>
      <c r="D88" s="1654" t="s">
        <v>2430</v>
      </c>
      <c r="E88" s="1621"/>
      <c r="F88" s="1663"/>
      <c r="G88" s="1636"/>
      <c r="H88" s="1679"/>
      <c r="I88" s="1636"/>
      <c r="J88" s="1636"/>
      <c r="K88" s="1667"/>
      <c r="L88" s="1668"/>
      <c r="M88" s="1633"/>
      <c r="N88" s="1631"/>
      <c r="O88" s="1619"/>
      <c r="P88" s="1633"/>
      <c r="Q88" s="1633"/>
      <c r="R88" s="1633"/>
      <c r="S88" s="1633"/>
      <c r="T88" s="1657"/>
      <c r="U88" s="1657"/>
      <c r="V88" s="1658"/>
      <c r="W88" s="1658"/>
      <c r="X88" s="1669"/>
      <c r="Y88" s="1621"/>
    </row>
    <row r="89" spans="1:25">
      <c r="A89" s="3132">
        <v>4146</v>
      </c>
      <c r="B89" s="3132"/>
      <c r="C89" s="3132" t="s">
        <v>123</v>
      </c>
      <c r="D89" s="3134" t="s">
        <v>2431</v>
      </c>
      <c r="E89" s="1621" t="s">
        <v>2432</v>
      </c>
      <c r="F89" s="1619"/>
      <c r="G89" s="1636"/>
      <c r="H89" s="1619"/>
      <c r="I89" s="1636"/>
      <c r="J89" s="1636"/>
      <c r="K89" s="1680">
        <v>1</v>
      </c>
      <c r="L89" s="1668">
        <v>1</v>
      </c>
      <c r="M89" s="1633"/>
      <c r="N89" s="1631">
        <f>N90</f>
        <v>0</v>
      </c>
      <c r="O89" s="3137">
        <f>IF(Q89&gt;0,N89,"na")</f>
        <v>0</v>
      </c>
      <c r="P89" s="1633">
        <f>+P90</f>
        <v>218288160</v>
      </c>
      <c r="Q89" s="1633">
        <f>+Q90</f>
        <v>218288160</v>
      </c>
      <c r="R89" s="1633">
        <f>+R90</f>
        <v>0</v>
      </c>
      <c r="S89" s="1633">
        <f>+S90</f>
        <v>0</v>
      </c>
      <c r="T89" s="1657">
        <f>IF(Q89=0,0,R89/Q89)</f>
        <v>0</v>
      </c>
      <c r="U89" s="1657">
        <f t="shared" ref="U89" si="32">IF(R89=0,0,S89/R89)</f>
        <v>0</v>
      </c>
      <c r="V89" s="1658"/>
      <c r="W89" s="1658"/>
      <c r="X89" s="1669"/>
      <c r="Y89" s="3131" t="s">
        <v>2399</v>
      </c>
    </row>
    <row r="90" spans="1:25" ht="118.8">
      <c r="A90" s="3132"/>
      <c r="B90" s="3132"/>
      <c r="C90" s="3132"/>
      <c r="D90" s="3134"/>
      <c r="E90" s="1621" t="s">
        <v>2433</v>
      </c>
      <c r="F90" s="1619"/>
      <c r="G90" s="1636" t="s">
        <v>2430</v>
      </c>
      <c r="H90" s="1679"/>
      <c r="I90" s="1636" t="s">
        <v>2434</v>
      </c>
      <c r="J90" s="1636" t="s">
        <v>2435</v>
      </c>
      <c r="K90" s="1680">
        <v>1</v>
      </c>
      <c r="L90" s="1668">
        <v>1</v>
      </c>
      <c r="M90" s="1681">
        <v>0</v>
      </c>
      <c r="N90" s="1631">
        <v>0</v>
      </c>
      <c r="O90" s="3137"/>
      <c r="P90" s="1633">
        <v>218288160</v>
      </c>
      <c r="Q90" s="1633">
        <v>218288160</v>
      </c>
      <c r="R90" s="1633">
        <v>0</v>
      </c>
      <c r="S90" s="1633">
        <v>0</v>
      </c>
      <c r="T90" s="1657">
        <f t="shared" ref="T90" si="33">IF(Q90=0,0,R90/Q90)</f>
        <v>0</v>
      </c>
      <c r="U90" s="1657">
        <f>IF(R90=0,0,S90/R90)</f>
        <v>0</v>
      </c>
      <c r="V90" s="1658"/>
      <c r="W90" s="1658"/>
      <c r="X90" s="1669"/>
      <c r="Y90" s="3131"/>
    </row>
    <row r="91" spans="1:25" ht="27.6">
      <c r="A91" s="1606"/>
      <c r="B91" s="1606">
        <v>5202002</v>
      </c>
      <c r="C91" s="1682" t="s">
        <v>116</v>
      </c>
      <c r="D91" s="1649" t="s">
        <v>1760</v>
      </c>
      <c r="E91" s="1608"/>
      <c r="F91" s="1606"/>
      <c r="G91" s="1607"/>
      <c r="H91" s="1608"/>
      <c r="I91" s="1649"/>
      <c r="J91" s="1607"/>
      <c r="K91" s="1683"/>
      <c r="L91" s="1645"/>
      <c r="M91" s="1650"/>
      <c r="N91" s="1645"/>
      <c r="O91" s="1651"/>
      <c r="P91" s="1644"/>
      <c r="Q91" s="1644"/>
      <c r="R91" s="1644"/>
      <c r="S91" s="1644"/>
      <c r="T91" s="1645"/>
      <c r="U91" s="1645"/>
      <c r="V91" s="1606"/>
      <c r="W91" s="1606"/>
      <c r="X91" s="1653"/>
      <c r="Y91" s="1614"/>
    </row>
    <row r="92" spans="1:25" ht="27.6">
      <c r="A92" s="1606"/>
      <c r="B92" s="1619">
        <v>52020020003</v>
      </c>
      <c r="C92" s="1662" t="s">
        <v>117</v>
      </c>
      <c r="D92" s="1654" t="s">
        <v>2436</v>
      </c>
      <c r="E92" s="1608"/>
      <c r="F92" s="1665"/>
      <c r="G92" s="1607"/>
      <c r="H92" s="1665"/>
      <c r="I92" s="1649"/>
      <c r="J92" s="1607"/>
      <c r="K92" s="1683"/>
      <c r="L92" s="1645"/>
      <c r="M92" s="1650"/>
      <c r="N92" s="1645"/>
      <c r="O92" s="1651"/>
      <c r="P92" s="1644"/>
      <c r="Q92" s="1644"/>
      <c r="R92" s="1644"/>
      <c r="S92" s="1644"/>
      <c r="T92" s="1645"/>
      <c r="U92" s="1645"/>
      <c r="V92" s="1606"/>
      <c r="W92" s="1606"/>
      <c r="X92" s="1653"/>
      <c r="Y92" s="1614"/>
    </row>
    <row r="93" spans="1:25">
      <c r="A93" s="3132">
        <v>4146</v>
      </c>
      <c r="B93" s="3132"/>
      <c r="C93" s="3143" t="s">
        <v>123</v>
      </c>
      <c r="D93" s="3134" t="s">
        <v>2437</v>
      </c>
      <c r="E93" s="1660" t="s">
        <v>2438</v>
      </c>
      <c r="F93" s="1606"/>
      <c r="G93" s="1636"/>
      <c r="H93" s="1619"/>
      <c r="I93" s="1636"/>
      <c r="J93" s="1636"/>
      <c r="K93" s="1633">
        <v>100</v>
      </c>
      <c r="L93" s="1631">
        <v>1</v>
      </c>
      <c r="M93" s="1633"/>
      <c r="N93" s="1631">
        <f>+N94+N95</f>
        <v>0.11</v>
      </c>
      <c r="O93" s="3144">
        <f>IF(Q93&gt;0,N93,"na")</f>
        <v>0.11</v>
      </c>
      <c r="P93" s="1633">
        <f>+P94+P95</f>
        <v>150000000</v>
      </c>
      <c r="Q93" s="1633">
        <f>+Q94+Q95</f>
        <v>150000000</v>
      </c>
      <c r="R93" s="1633">
        <f>+R94+R95</f>
        <v>68330000</v>
      </c>
      <c r="S93" s="1633">
        <f>+S94+S95</f>
        <v>31513000</v>
      </c>
      <c r="T93" s="1657">
        <f>IF(Q93=0,0,R93/Q93)</f>
        <v>0.45553333333333335</v>
      </c>
      <c r="U93" s="1657">
        <f>IF(R93=0,0,S93/R93)</f>
        <v>0.4611883506512513</v>
      </c>
      <c r="V93" s="1606"/>
      <c r="W93" s="1606"/>
      <c r="X93" s="1653"/>
      <c r="Y93" s="3131" t="s">
        <v>2439</v>
      </c>
    </row>
    <row r="94" spans="1:25" ht="92.4">
      <c r="A94" s="3132"/>
      <c r="B94" s="3132"/>
      <c r="C94" s="3143"/>
      <c r="D94" s="3134"/>
      <c r="E94" s="1660" t="s">
        <v>2440</v>
      </c>
      <c r="F94" s="1606"/>
      <c r="G94" s="1636" t="s">
        <v>2436</v>
      </c>
      <c r="H94" s="1619"/>
      <c r="I94" s="1636" t="s">
        <v>2441</v>
      </c>
      <c r="J94" s="1636" t="s">
        <v>2442</v>
      </c>
      <c r="K94" s="1633">
        <v>100</v>
      </c>
      <c r="L94" s="1631">
        <v>0.33</v>
      </c>
      <c r="M94" s="1632">
        <v>0</v>
      </c>
      <c r="N94" s="1631">
        <v>0.06</v>
      </c>
      <c r="O94" s="3144"/>
      <c r="P94" s="1633">
        <v>50941440</v>
      </c>
      <c r="Q94" s="1633">
        <v>50941440</v>
      </c>
      <c r="R94" s="1633">
        <v>31386000</v>
      </c>
      <c r="S94" s="1633">
        <v>10462000</v>
      </c>
      <c r="T94" s="1657">
        <f t="shared" ref="T94:U95" si="34">IF(Q94=0,0,R94/Q94)</f>
        <v>0.61611921453339369</v>
      </c>
      <c r="U94" s="1657">
        <f t="shared" si="34"/>
        <v>0.33333333333333331</v>
      </c>
      <c r="V94" s="1658">
        <v>45314</v>
      </c>
      <c r="W94" s="1658">
        <v>45657</v>
      </c>
      <c r="X94" s="1637" t="s">
        <v>2443</v>
      </c>
      <c r="Y94" s="3131"/>
    </row>
    <row r="95" spans="1:25" ht="52.8">
      <c r="A95" s="3132"/>
      <c r="B95" s="3132"/>
      <c r="C95" s="3143"/>
      <c r="D95" s="3134"/>
      <c r="E95" s="1660" t="s">
        <v>2444</v>
      </c>
      <c r="F95" s="1606"/>
      <c r="G95" s="1636"/>
      <c r="H95" s="1619"/>
      <c r="I95" s="1636" t="s">
        <v>2445</v>
      </c>
      <c r="J95" s="1636" t="s">
        <v>120</v>
      </c>
      <c r="K95" s="1633">
        <v>50</v>
      </c>
      <c r="L95" s="1631">
        <v>0.67</v>
      </c>
      <c r="M95" s="1632">
        <v>0</v>
      </c>
      <c r="N95" s="1631">
        <v>0.05</v>
      </c>
      <c r="O95" s="3144"/>
      <c r="P95" s="1633">
        <v>99058560</v>
      </c>
      <c r="Q95" s="1633">
        <v>99058560</v>
      </c>
      <c r="R95" s="1633">
        <v>36944000</v>
      </c>
      <c r="S95" s="1633">
        <v>21051000</v>
      </c>
      <c r="T95" s="1657">
        <f t="shared" si="34"/>
        <v>0.37295111093882244</v>
      </c>
      <c r="U95" s="1657">
        <f t="shared" si="34"/>
        <v>0.56980835859679513</v>
      </c>
      <c r="V95" s="1658">
        <v>45314</v>
      </c>
      <c r="W95" s="1658">
        <v>45657</v>
      </c>
      <c r="X95" s="1637" t="s">
        <v>2446</v>
      </c>
      <c r="Y95" s="3131"/>
    </row>
    <row r="96" spans="1:25" ht="27.6">
      <c r="A96" s="1619"/>
      <c r="B96" s="1619">
        <v>52020020004</v>
      </c>
      <c r="C96" s="1662" t="s">
        <v>117</v>
      </c>
      <c r="D96" s="1654" t="s">
        <v>2447</v>
      </c>
      <c r="E96" s="1621"/>
      <c r="F96" s="1619"/>
      <c r="G96" s="1620"/>
      <c r="H96" s="1619"/>
      <c r="I96" s="1636"/>
      <c r="J96" s="1636"/>
      <c r="K96" s="1644"/>
      <c r="L96" s="1657"/>
      <c r="M96" s="1655"/>
      <c r="N96" s="1645"/>
      <c r="O96" s="1656"/>
      <c r="P96" s="1644"/>
      <c r="Q96" s="1644"/>
      <c r="R96" s="1644"/>
      <c r="S96" s="1644"/>
      <c r="T96" s="1657"/>
      <c r="U96" s="1657"/>
      <c r="V96" s="1661"/>
      <c r="W96" s="1661"/>
      <c r="X96" s="1637"/>
      <c r="Y96" s="1684"/>
    </row>
    <row r="97" spans="1:25">
      <c r="A97" s="3132">
        <v>4146</v>
      </c>
      <c r="B97" s="3132"/>
      <c r="C97" s="3132" t="s">
        <v>123</v>
      </c>
      <c r="D97" s="3134" t="s">
        <v>2448</v>
      </c>
      <c r="E97" s="1660" t="s">
        <v>2449</v>
      </c>
      <c r="F97" s="1619"/>
      <c r="G97" s="1620"/>
      <c r="H97" s="1619"/>
      <c r="I97" s="1636"/>
      <c r="J97" s="1636"/>
      <c r="K97" s="1633">
        <v>8</v>
      </c>
      <c r="L97" s="1631">
        <v>1</v>
      </c>
      <c r="M97" s="1633"/>
      <c r="N97" s="1631">
        <f>+N98+N99</f>
        <v>0</v>
      </c>
      <c r="O97" s="3137">
        <f>IF(Q97&gt;0,N97,"na")</f>
        <v>0</v>
      </c>
      <c r="P97" s="1633">
        <f>+P98+P99</f>
        <v>700000000</v>
      </c>
      <c r="Q97" s="1633">
        <f>+Q98+Q99</f>
        <v>700000000</v>
      </c>
      <c r="R97" s="1633">
        <f>+R98+R99</f>
        <v>0</v>
      </c>
      <c r="S97" s="1633">
        <f>+S98+S99</f>
        <v>0</v>
      </c>
      <c r="T97" s="1657">
        <f t="shared" ref="T97:U99" si="35">IF(Q97=0,0,R97/Q97)</f>
        <v>0</v>
      </c>
      <c r="U97" s="1657">
        <f t="shared" si="35"/>
        <v>0</v>
      </c>
      <c r="V97" s="1661"/>
      <c r="W97" s="1661"/>
      <c r="X97" s="1637"/>
      <c r="Y97" s="3131" t="s">
        <v>2279</v>
      </c>
    </row>
    <row r="98" spans="1:25" ht="132">
      <c r="A98" s="3132"/>
      <c r="B98" s="3132"/>
      <c r="C98" s="3132"/>
      <c r="D98" s="3135"/>
      <c r="E98" s="1660" t="s">
        <v>2450</v>
      </c>
      <c r="F98" s="1619"/>
      <c r="G98" s="1636" t="s">
        <v>2447</v>
      </c>
      <c r="H98" s="1619"/>
      <c r="I98" s="1636" t="s">
        <v>2451</v>
      </c>
      <c r="J98" s="1636" t="s">
        <v>2452</v>
      </c>
      <c r="K98" s="1633">
        <v>134</v>
      </c>
      <c r="L98" s="1631">
        <v>0.97</v>
      </c>
      <c r="M98" s="1632">
        <v>0</v>
      </c>
      <c r="N98" s="1631">
        <v>0</v>
      </c>
      <c r="O98" s="3132"/>
      <c r="P98" s="1633">
        <v>678338945</v>
      </c>
      <c r="Q98" s="1633">
        <v>678338945</v>
      </c>
      <c r="R98" s="1633">
        <v>0</v>
      </c>
      <c r="S98" s="1633">
        <v>0</v>
      </c>
      <c r="T98" s="1657">
        <f t="shared" si="35"/>
        <v>0</v>
      </c>
      <c r="U98" s="1657">
        <f>IF(R98=0,0,S98/R98)</f>
        <v>0</v>
      </c>
      <c r="V98" s="1658"/>
      <c r="W98" s="1658"/>
      <c r="X98" s="1637"/>
      <c r="Y98" s="3138"/>
    </row>
    <row r="99" spans="1:25" ht="39.6">
      <c r="A99" s="3132"/>
      <c r="B99" s="3132"/>
      <c r="C99" s="3132"/>
      <c r="D99" s="3135"/>
      <c r="E99" s="1660" t="s">
        <v>2453</v>
      </c>
      <c r="F99" s="1619"/>
      <c r="G99" s="1636"/>
      <c r="H99" s="1619"/>
      <c r="I99" s="1636" t="s">
        <v>2454</v>
      </c>
      <c r="J99" s="1636" t="s">
        <v>2455</v>
      </c>
      <c r="K99" s="1633">
        <v>2</v>
      </c>
      <c r="L99" s="1631">
        <v>0.03</v>
      </c>
      <c r="M99" s="1632">
        <v>0</v>
      </c>
      <c r="N99" s="1631">
        <v>0</v>
      </c>
      <c r="O99" s="3132"/>
      <c r="P99" s="1633">
        <v>21661055</v>
      </c>
      <c r="Q99" s="1633">
        <v>21661055</v>
      </c>
      <c r="R99" s="1633">
        <v>0</v>
      </c>
      <c r="S99" s="1633">
        <v>0</v>
      </c>
      <c r="T99" s="1657">
        <f t="shared" si="35"/>
        <v>0</v>
      </c>
      <c r="U99" s="1657">
        <f t="shared" si="35"/>
        <v>0</v>
      </c>
      <c r="V99" s="1661"/>
      <c r="W99" s="1661"/>
      <c r="X99" s="1637"/>
      <c r="Y99" s="3138"/>
    </row>
    <row r="100" spans="1:25">
      <c r="A100" s="1606"/>
      <c r="B100" s="1606">
        <v>5202003</v>
      </c>
      <c r="C100" s="1606" t="s">
        <v>116</v>
      </c>
      <c r="D100" s="1649" t="s">
        <v>1788</v>
      </c>
      <c r="E100" s="1608"/>
      <c r="F100" s="1606"/>
      <c r="G100" s="1607"/>
      <c r="H100" s="1606"/>
      <c r="I100" s="1649"/>
      <c r="J100" s="1607"/>
      <c r="K100" s="1683"/>
      <c r="L100" s="1685"/>
      <c r="M100" s="1650"/>
      <c r="N100" s="1645"/>
      <c r="O100" s="1651"/>
      <c r="P100" s="1644"/>
      <c r="Q100" s="1644"/>
      <c r="R100" s="1644"/>
      <c r="S100" s="1644"/>
      <c r="T100" s="1645"/>
      <c r="U100" s="1645"/>
      <c r="V100" s="1606"/>
      <c r="W100" s="1606"/>
      <c r="X100" s="1653"/>
      <c r="Y100" s="1686"/>
    </row>
    <row r="101" spans="1:25" ht="27.6">
      <c r="A101" s="1619"/>
      <c r="B101" s="1662">
        <v>52020030001</v>
      </c>
      <c r="C101" s="1662" t="s">
        <v>117</v>
      </c>
      <c r="D101" s="1654" t="s">
        <v>2456</v>
      </c>
      <c r="E101" s="1621"/>
      <c r="F101" s="1619"/>
      <c r="G101" s="1620"/>
      <c r="H101" s="1619"/>
      <c r="I101" s="1636"/>
      <c r="J101" s="1620"/>
      <c r="K101" s="1644"/>
      <c r="L101" s="1645"/>
      <c r="M101" s="1655"/>
      <c r="N101" s="1645"/>
      <c r="O101" s="1656"/>
      <c r="P101" s="1644"/>
      <c r="Q101" s="1644"/>
      <c r="R101" s="1644"/>
      <c r="S101" s="1644"/>
      <c r="T101" s="1657"/>
      <c r="U101" s="1657"/>
      <c r="V101" s="1619"/>
      <c r="W101" s="1619"/>
      <c r="X101" s="1637"/>
      <c r="Y101" s="1628"/>
    </row>
    <row r="102" spans="1:25">
      <c r="A102" s="3132">
        <v>4146</v>
      </c>
      <c r="B102" s="3132"/>
      <c r="C102" s="3132" t="s">
        <v>123</v>
      </c>
      <c r="D102" s="3134" t="s">
        <v>2457</v>
      </c>
      <c r="E102" s="1621" t="s">
        <v>2458</v>
      </c>
      <c r="F102" s="1619"/>
      <c r="G102" s="1620"/>
      <c r="H102" s="1619"/>
      <c r="I102" s="1636"/>
      <c r="J102" s="1620"/>
      <c r="K102" s="1633">
        <v>1</v>
      </c>
      <c r="L102" s="1631">
        <v>1</v>
      </c>
      <c r="M102" s="1655"/>
      <c r="N102" s="1631">
        <f>+N103+N104</f>
        <v>0.24</v>
      </c>
      <c r="O102" s="3137">
        <f>IF(Q102&gt;0,N102,"na")</f>
        <v>0.24</v>
      </c>
      <c r="P102" s="1633">
        <f>+P103+P104</f>
        <v>1818752850</v>
      </c>
      <c r="Q102" s="1633">
        <f>+Q103+Q104</f>
        <v>1818752850</v>
      </c>
      <c r="R102" s="1633">
        <f>+R103+R104</f>
        <v>175392000</v>
      </c>
      <c r="S102" s="1633">
        <f>+S103+S104</f>
        <v>31653000</v>
      </c>
      <c r="T102" s="1657">
        <f t="shared" ref="T102:U104" si="36">IF(Q102=0,0,R102/Q102)</f>
        <v>9.6435312802396436E-2</v>
      </c>
      <c r="U102" s="1657">
        <f t="shared" si="36"/>
        <v>0.18047003284072249</v>
      </c>
      <c r="V102" s="1658"/>
      <c r="W102" s="1658"/>
      <c r="X102" s="1637"/>
      <c r="Y102" s="3131" t="s">
        <v>2439</v>
      </c>
    </row>
    <row r="103" spans="1:25" ht="158.4">
      <c r="A103" s="3132"/>
      <c r="B103" s="3132"/>
      <c r="C103" s="3132"/>
      <c r="D103" s="3135"/>
      <c r="E103" s="1621" t="s">
        <v>2459</v>
      </c>
      <c r="F103" s="1619"/>
      <c r="G103" s="1636" t="s">
        <v>2456</v>
      </c>
      <c r="H103" s="1619"/>
      <c r="I103" s="1636" t="s">
        <v>2460</v>
      </c>
      <c r="J103" s="1636" t="s">
        <v>2461</v>
      </c>
      <c r="K103" s="1633">
        <v>700</v>
      </c>
      <c r="L103" s="1631">
        <v>0.7</v>
      </c>
      <c r="M103" s="1632">
        <v>25</v>
      </c>
      <c r="N103" s="1631">
        <v>0.15</v>
      </c>
      <c r="O103" s="3132"/>
      <c r="P103" s="1633">
        <v>830445890</v>
      </c>
      <c r="Q103" s="1633">
        <v>830445890</v>
      </c>
      <c r="R103" s="1633">
        <v>125350000</v>
      </c>
      <c r="S103" s="1633">
        <v>21337000</v>
      </c>
      <c r="T103" s="1657">
        <f t="shared" si="36"/>
        <v>0.15094300725601761</v>
      </c>
      <c r="U103" s="1657">
        <f t="shared" si="36"/>
        <v>0.17021938571998405</v>
      </c>
      <c r="V103" s="1658">
        <v>45314</v>
      </c>
      <c r="W103" s="1658">
        <v>45657</v>
      </c>
      <c r="X103" s="1637" t="s">
        <v>2462</v>
      </c>
      <c r="Y103" s="3138"/>
    </row>
    <row r="104" spans="1:25" ht="158.4">
      <c r="A104" s="3132"/>
      <c r="B104" s="3132"/>
      <c r="C104" s="3132"/>
      <c r="D104" s="3135"/>
      <c r="E104" s="1621" t="s">
        <v>2463</v>
      </c>
      <c r="F104" s="1619"/>
      <c r="G104" s="1636"/>
      <c r="H104" s="1619"/>
      <c r="I104" s="1636" t="s">
        <v>2464</v>
      </c>
      <c r="J104" s="1636" t="s">
        <v>2455</v>
      </c>
      <c r="K104" s="1633">
        <v>8</v>
      </c>
      <c r="L104" s="1631">
        <v>0.3</v>
      </c>
      <c r="M104" s="1632">
        <v>2</v>
      </c>
      <c r="N104" s="1631">
        <v>0.09</v>
      </c>
      <c r="O104" s="3132"/>
      <c r="P104" s="1633">
        <v>988306960</v>
      </c>
      <c r="Q104" s="1633">
        <v>988306960</v>
      </c>
      <c r="R104" s="1633">
        <v>50042000</v>
      </c>
      <c r="S104" s="1633">
        <v>10316000</v>
      </c>
      <c r="T104" s="1657">
        <f t="shared" si="36"/>
        <v>5.0634066160983024E-2</v>
      </c>
      <c r="U104" s="1657">
        <f t="shared" si="36"/>
        <v>0.20614683665720795</v>
      </c>
      <c r="V104" s="1658">
        <v>45314</v>
      </c>
      <c r="W104" s="1658">
        <v>45657</v>
      </c>
      <c r="X104" s="1637" t="s">
        <v>2465</v>
      </c>
      <c r="Y104" s="3138"/>
    </row>
    <row r="105" spans="1:25" ht="27.6">
      <c r="A105" s="1619"/>
      <c r="B105" s="1619">
        <v>52020030002</v>
      </c>
      <c r="C105" s="1619" t="s">
        <v>117</v>
      </c>
      <c r="D105" s="1654" t="s">
        <v>2466</v>
      </c>
      <c r="E105" s="1621"/>
      <c r="F105" s="1619"/>
      <c r="G105" s="1636"/>
      <c r="H105" s="1619"/>
      <c r="I105" s="1636"/>
      <c r="J105" s="1636"/>
      <c r="K105" s="1667"/>
      <c r="L105" s="1668"/>
      <c r="M105" s="1655"/>
      <c r="N105" s="1631"/>
      <c r="O105" s="1619"/>
      <c r="P105" s="1633"/>
      <c r="Q105" s="1633"/>
      <c r="R105" s="1633"/>
      <c r="S105" s="1633"/>
      <c r="T105" s="1657"/>
      <c r="U105" s="1657"/>
      <c r="V105" s="1658"/>
      <c r="W105" s="1658"/>
      <c r="X105" s="1637"/>
      <c r="Y105" s="1638"/>
    </row>
    <row r="106" spans="1:25">
      <c r="A106" s="3132">
        <v>4146</v>
      </c>
      <c r="B106" s="3132"/>
      <c r="C106" s="3132" t="s">
        <v>123</v>
      </c>
      <c r="D106" s="3134" t="s">
        <v>2467</v>
      </c>
      <c r="E106" s="1621" t="s">
        <v>2468</v>
      </c>
      <c r="F106" s="1619"/>
      <c r="G106" s="1636"/>
      <c r="H106" s="1619"/>
      <c r="I106" s="1636"/>
      <c r="J106" s="1636"/>
      <c r="K106" s="1667">
        <v>40</v>
      </c>
      <c r="L106" s="1668">
        <v>1</v>
      </c>
      <c r="M106" s="1655"/>
      <c r="N106" s="1631">
        <f>+N107</f>
        <v>0.06</v>
      </c>
      <c r="O106" s="3142">
        <f>IF(Q106&gt;0,N106,"na")</f>
        <v>0.06</v>
      </c>
      <c r="P106" s="1633">
        <f>+P107+P108</f>
        <v>437101550</v>
      </c>
      <c r="Q106" s="1633">
        <f t="shared" ref="Q106:S106" si="37">+Q107+Q108</f>
        <v>437101550</v>
      </c>
      <c r="R106" s="1633">
        <f t="shared" si="37"/>
        <v>8876000</v>
      </c>
      <c r="S106" s="1633">
        <f t="shared" si="37"/>
        <v>0</v>
      </c>
      <c r="T106" s="1657">
        <f t="shared" ref="T106:U108" si="38">IF(Q106=0,0,R106/Q106)</f>
        <v>2.0306493994358975E-2</v>
      </c>
      <c r="U106" s="1657">
        <f t="shared" si="38"/>
        <v>0</v>
      </c>
      <c r="V106" s="1658"/>
      <c r="W106" s="1658"/>
      <c r="X106" s="1637"/>
      <c r="Y106" s="3131" t="s">
        <v>2439</v>
      </c>
    </row>
    <row r="107" spans="1:25" ht="92.4">
      <c r="A107" s="3132"/>
      <c r="B107" s="3132"/>
      <c r="C107" s="3132"/>
      <c r="D107" s="3134"/>
      <c r="E107" s="1621" t="s">
        <v>2469</v>
      </c>
      <c r="F107" s="1619"/>
      <c r="G107" s="1636" t="s">
        <v>2466</v>
      </c>
      <c r="H107" s="1619"/>
      <c r="I107" s="1636" t="s">
        <v>2470</v>
      </c>
      <c r="J107" s="1636" t="s">
        <v>2455</v>
      </c>
      <c r="K107" s="1667">
        <v>40</v>
      </c>
      <c r="L107" s="1668">
        <v>0.8</v>
      </c>
      <c r="M107" s="1632">
        <v>0</v>
      </c>
      <c r="N107" s="1631">
        <v>0.06</v>
      </c>
      <c r="O107" s="3142"/>
      <c r="P107" s="1633">
        <v>396441952</v>
      </c>
      <c r="Q107" s="1633">
        <v>396441952</v>
      </c>
      <c r="R107" s="1633">
        <v>8876000</v>
      </c>
      <c r="S107" s="1633">
        <v>0</v>
      </c>
      <c r="T107" s="1657">
        <f t="shared" si="38"/>
        <v>2.2389154213426937E-2</v>
      </c>
      <c r="U107" s="1657">
        <f t="shared" si="38"/>
        <v>0</v>
      </c>
      <c r="V107" s="1658">
        <v>45370</v>
      </c>
      <c r="W107" s="1658">
        <v>45657</v>
      </c>
      <c r="X107" s="1637" t="s">
        <v>2471</v>
      </c>
      <c r="Y107" s="3131"/>
    </row>
    <row r="108" spans="1:25" ht="39.6">
      <c r="A108" s="3132"/>
      <c r="B108" s="3132"/>
      <c r="C108" s="3132"/>
      <c r="D108" s="3134"/>
      <c r="E108" s="1621" t="s">
        <v>2472</v>
      </c>
      <c r="F108" s="1619"/>
      <c r="G108" s="1636"/>
      <c r="H108" s="1619"/>
      <c r="I108" s="1636" t="s">
        <v>2473</v>
      </c>
      <c r="J108" s="1636" t="s">
        <v>2474</v>
      </c>
      <c r="K108" s="1667">
        <v>4</v>
      </c>
      <c r="L108" s="1668">
        <v>0.2</v>
      </c>
      <c r="M108" s="1632">
        <v>0</v>
      </c>
      <c r="N108" s="1631">
        <v>0</v>
      </c>
      <c r="O108" s="3142"/>
      <c r="P108" s="1633">
        <v>40659598</v>
      </c>
      <c r="Q108" s="1633">
        <v>40659598</v>
      </c>
      <c r="R108" s="1633">
        <v>0</v>
      </c>
      <c r="S108" s="1633">
        <v>0</v>
      </c>
      <c r="T108" s="1657">
        <f t="shared" si="38"/>
        <v>0</v>
      </c>
      <c r="U108" s="1657">
        <f t="shared" si="38"/>
        <v>0</v>
      </c>
      <c r="V108" s="1658"/>
      <c r="W108" s="1658"/>
      <c r="X108" s="1637"/>
      <c r="Y108" s="3131"/>
    </row>
    <row r="109" spans="1:25" ht="27.6">
      <c r="A109" s="1619"/>
      <c r="B109" s="1619">
        <v>52020030003</v>
      </c>
      <c r="C109" s="1619" t="s">
        <v>117</v>
      </c>
      <c r="D109" s="1654" t="s">
        <v>2475</v>
      </c>
      <c r="E109" s="1621"/>
      <c r="F109" s="1619"/>
      <c r="G109" s="1636"/>
      <c r="H109" s="1619"/>
      <c r="I109" s="1636"/>
      <c r="J109" s="1636"/>
      <c r="K109" s="1667"/>
      <c r="L109" s="1668"/>
      <c r="M109" s="1655"/>
      <c r="N109" s="1631"/>
      <c r="O109" s="1619"/>
      <c r="P109" s="1633"/>
      <c r="Q109" s="1633"/>
      <c r="R109" s="1633"/>
      <c r="S109" s="1633"/>
      <c r="T109" s="1657"/>
      <c r="U109" s="1657"/>
      <c r="V109" s="1658"/>
      <c r="W109" s="1658"/>
      <c r="X109" s="1637"/>
      <c r="Y109" s="1638"/>
    </row>
    <row r="110" spans="1:25">
      <c r="A110" s="3132">
        <v>4146</v>
      </c>
      <c r="B110" s="3132"/>
      <c r="C110" s="3132" t="s">
        <v>123</v>
      </c>
      <c r="D110" s="3134" t="s">
        <v>2476</v>
      </c>
      <c r="E110" s="1621" t="s">
        <v>2477</v>
      </c>
      <c r="F110" s="1619"/>
      <c r="G110" s="1636"/>
      <c r="H110" s="1619"/>
      <c r="I110" s="1636"/>
      <c r="J110" s="1636"/>
      <c r="K110" s="1667">
        <v>2</v>
      </c>
      <c r="L110" s="1668">
        <v>1</v>
      </c>
      <c r="M110" s="1655"/>
      <c r="N110" s="1631">
        <f>+N111+N112</f>
        <v>0.05</v>
      </c>
      <c r="O110" s="3142">
        <f>IF(Q110&gt;0,N110,"na")</f>
        <v>0.05</v>
      </c>
      <c r="P110" s="1633">
        <f>+P111+P112</f>
        <v>544145600</v>
      </c>
      <c r="Q110" s="1633">
        <f>+Q111+Q112</f>
        <v>544145600</v>
      </c>
      <c r="R110" s="1633">
        <f>+R111+R112</f>
        <v>56342000</v>
      </c>
      <c r="S110" s="1633">
        <f>+S111+S112</f>
        <v>4438000</v>
      </c>
      <c r="T110" s="1657">
        <f t="shared" ref="T110:U112" si="39">IF(Q110=0,0,R110/Q110)</f>
        <v>0.10354214019188981</v>
      </c>
      <c r="U110" s="1657">
        <f t="shared" si="39"/>
        <v>7.8768946789251351E-2</v>
      </c>
      <c r="V110" s="1658"/>
      <c r="W110" s="1658"/>
      <c r="X110" s="1637"/>
      <c r="Y110" s="3131" t="s">
        <v>2439</v>
      </c>
    </row>
    <row r="111" spans="1:25" ht="105.6">
      <c r="A111" s="3132"/>
      <c r="B111" s="3132"/>
      <c r="C111" s="3132"/>
      <c r="D111" s="3134"/>
      <c r="E111" s="1621" t="s">
        <v>2478</v>
      </c>
      <c r="F111" s="1619"/>
      <c r="G111" s="1636" t="s">
        <v>2475</v>
      </c>
      <c r="H111" s="1619"/>
      <c r="I111" s="1636" t="s">
        <v>2479</v>
      </c>
      <c r="J111" s="1636" t="s">
        <v>2474</v>
      </c>
      <c r="K111" s="1667">
        <v>1</v>
      </c>
      <c r="L111" s="1668">
        <v>0.5</v>
      </c>
      <c r="M111" s="1632">
        <v>0</v>
      </c>
      <c r="N111" s="1631">
        <v>0</v>
      </c>
      <c r="O111" s="3142"/>
      <c r="P111" s="1633">
        <v>251600000</v>
      </c>
      <c r="Q111" s="1633">
        <v>251600000</v>
      </c>
      <c r="R111" s="1633">
        <v>0</v>
      </c>
      <c r="S111" s="1633">
        <v>0</v>
      </c>
      <c r="T111" s="1657">
        <f t="shared" si="39"/>
        <v>0</v>
      </c>
      <c r="U111" s="1657">
        <f t="shared" si="39"/>
        <v>0</v>
      </c>
      <c r="V111" s="1658"/>
      <c r="W111" s="1658"/>
      <c r="X111" s="1637"/>
      <c r="Y111" s="3131"/>
    </row>
    <row r="112" spans="1:25" ht="52.8">
      <c r="A112" s="3132"/>
      <c r="B112" s="3132"/>
      <c r="C112" s="3132"/>
      <c r="D112" s="3134"/>
      <c r="E112" s="1621" t="s">
        <v>2480</v>
      </c>
      <c r="F112" s="1619"/>
      <c r="G112" s="1636"/>
      <c r="H112" s="1619"/>
      <c r="I112" s="1636" t="s">
        <v>2481</v>
      </c>
      <c r="J112" s="1636" t="s">
        <v>2455</v>
      </c>
      <c r="K112" s="1667">
        <v>1</v>
      </c>
      <c r="L112" s="1668">
        <v>0.5</v>
      </c>
      <c r="M112" s="1632">
        <v>0</v>
      </c>
      <c r="N112" s="1631">
        <v>0.05</v>
      </c>
      <c r="O112" s="3142"/>
      <c r="P112" s="1633">
        <v>292545600</v>
      </c>
      <c r="Q112" s="1633">
        <v>292545600</v>
      </c>
      <c r="R112" s="1633">
        <v>56342000</v>
      </c>
      <c r="S112" s="1633">
        <v>4438000</v>
      </c>
      <c r="T112" s="1657">
        <f t="shared" si="39"/>
        <v>0.1925921975924437</v>
      </c>
      <c r="U112" s="1657">
        <f>IF(R112=0,0,S112/R112)</f>
        <v>7.8768946789251351E-2</v>
      </c>
      <c r="V112" s="1658">
        <v>45370</v>
      </c>
      <c r="W112" s="1658">
        <v>45657</v>
      </c>
      <c r="X112" s="1637" t="s">
        <v>2482</v>
      </c>
      <c r="Y112" s="3131"/>
    </row>
    <row r="113" spans="1:25">
      <c r="A113" s="1606"/>
      <c r="B113" s="1606">
        <v>5202004</v>
      </c>
      <c r="C113" s="1606" t="s">
        <v>116</v>
      </c>
      <c r="D113" s="1649" t="s">
        <v>2483</v>
      </c>
      <c r="E113" s="1608"/>
      <c r="F113" s="1606"/>
      <c r="G113" s="1607"/>
      <c r="H113" s="1606"/>
      <c r="I113" s="1649"/>
      <c r="J113" s="1607"/>
      <c r="K113" s="1644"/>
      <c r="L113" s="1645"/>
      <c r="M113" s="1650"/>
      <c r="N113" s="1645"/>
      <c r="O113" s="1651"/>
      <c r="P113" s="1644"/>
      <c r="Q113" s="1644"/>
      <c r="R113" s="1644"/>
      <c r="S113" s="1644"/>
      <c r="T113" s="1645"/>
      <c r="U113" s="1645"/>
      <c r="V113" s="1606"/>
      <c r="W113" s="1606"/>
      <c r="X113" s="1653"/>
      <c r="Y113" s="1614"/>
    </row>
    <row r="114" spans="1:25" ht="27.6">
      <c r="A114" s="1619"/>
      <c r="B114" s="1662">
        <v>52020040001</v>
      </c>
      <c r="C114" s="1662" t="s">
        <v>117</v>
      </c>
      <c r="D114" s="1654" t="s">
        <v>2484</v>
      </c>
      <c r="E114" s="1621"/>
      <c r="F114" s="1665"/>
      <c r="G114" s="1620"/>
      <c r="H114" s="1665"/>
      <c r="I114" s="1636"/>
      <c r="J114" s="1620"/>
      <c r="K114" s="1644"/>
      <c r="L114" s="1645"/>
      <c r="M114" s="1655"/>
      <c r="N114" s="1645"/>
      <c r="O114" s="1656"/>
      <c r="P114" s="1644"/>
      <c r="Q114" s="1644"/>
      <c r="R114" s="1644"/>
      <c r="S114" s="1644"/>
      <c r="T114" s="1657"/>
      <c r="U114" s="1657"/>
      <c r="V114" s="1619"/>
      <c r="W114" s="1619"/>
      <c r="X114" s="1637"/>
      <c r="Y114" s="1628"/>
    </row>
    <row r="115" spans="1:25">
      <c r="A115" s="3132">
        <v>4146</v>
      </c>
      <c r="B115" s="3132"/>
      <c r="C115" s="3132" t="s">
        <v>123</v>
      </c>
      <c r="D115" s="3134" t="s">
        <v>2485</v>
      </c>
      <c r="E115" s="1621" t="s">
        <v>2486</v>
      </c>
      <c r="F115" s="1619"/>
      <c r="G115" s="1620"/>
      <c r="H115" s="1619"/>
      <c r="I115" s="1636"/>
      <c r="J115" s="1620"/>
      <c r="K115" s="1633">
        <v>160</v>
      </c>
      <c r="L115" s="1631">
        <v>1</v>
      </c>
      <c r="M115" s="1655"/>
      <c r="N115" s="1631">
        <f>N116</f>
        <v>0</v>
      </c>
      <c r="O115" s="3137">
        <f>IF(Q115&gt;0,N115,"na")</f>
        <v>0</v>
      </c>
      <c r="P115" s="1633">
        <f>P116</f>
        <v>445792000</v>
      </c>
      <c r="Q115" s="1633">
        <f t="shared" ref="Q115:S115" si="40">Q116</f>
        <v>445792000</v>
      </c>
      <c r="R115" s="1633">
        <f t="shared" si="40"/>
        <v>0</v>
      </c>
      <c r="S115" s="1633">
        <f t="shared" si="40"/>
        <v>0</v>
      </c>
      <c r="T115" s="1657">
        <f t="shared" ref="T115:U116" si="41">IF(Q115=0,0,R115/Q115)</f>
        <v>0</v>
      </c>
      <c r="U115" s="1657">
        <f t="shared" si="41"/>
        <v>0</v>
      </c>
      <c r="V115" s="1658"/>
      <c r="W115" s="1658"/>
      <c r="X115" s="1637"/>
      <c r="Y115" s="3131" t="s">
        <v>2439</v>
      </c>
    </row>
    <row r="116" spans="1:25" ht="92.4">
      <c r="A116" s="3132"/>
      <c r="B116" s="3132"/>
      <c r="C116" s="3132"/>
      <c r="D116" s="3135"/>
      <c r="E116" s="1621" t="s">
        <v>2487</v>
      </c>
      <c r="F116" s="1619"/>
      <c r="G116" s="1636" t="s">
        <v>2484</v>
      </c>
      <c r="H116" s="1619"/>
      <c r="I116" s="1629" t="s">
        <v>2488</v>
      </c>
      <c r="J116" s="1636" t="s">
        <v>2489</v>
      </c>
      <c r="K116" s="1667">
        <v>160</v>
      </c>
      <c r="L116" s="1668">
        <v>1</v>
      </c>
      <c r="M116" s="1632">
        <v>0</v>
      </c>
      <c r="N116" s="1631">
        <v>0</v>
      </c>
      <c r="O116" s="3132"/>
      <c r="P116" s="1633">
        <v>445792000</v>
      </c>
      <c r="Q116" s="1633">
        <v>445792000</v>
      </c>
      <c r="R116" s="1633">
        <v>0</v>
      </c>
      <c r="S116" s="1633">
        <v>0</v>
      </c>
      <c r="T116" s="1657">
        <f t="shared" si="41"/>
        <v>0</v>
      </c>
      <c r="U116" s="1657">
        <f t="shared" si="41"/>
        <v>0</v>
      </c>
      <c r="V116" s="1658"/>
      <c r="W116" s="1658"/>
      <c r="X116" s="1669"/>
      <c r="Y116" s="3131"/>
    </row>
    <row r="117" spans="1:25" ht="27.6">
      <c r="A117" s="1619"/>
      <c r="B117" s="1662">
        <v>52020040002</v>
      </c>
      <c r="C117" s="1662" t="s">
        <v>117</v>
      </c>
      <c r="D117" s="1654" t="s">
        <v>2490</v>
      </c>
      <c r="E117" s="1621"/>
      <c r="F117" s="1665"/>
      <c r="G117" s="1636"/>
      <c r="H117" s="1619"/>
      <c r="I117" s="1636"/>
      <c r="J117" s="1636"/>
      <c r="K117" s="1644"/>
      <c r="L117" s="1657"/>
      <c r="M117" s="1655"/>
      <c r="N117" s="1645"/>
      <c r="O117" s="1656"/>
      <c r="P117" s="1644"/>
      <c r="Q117" s="1644"/>
      <c r="R117" s="1644"/>
      <c r="S117" s="1644"/>
      <c r="T117" s="1657"/>
      <c r="U117" s="1657"/>
      <c r="V117" s="1661"/>
      <c r="W117" s="1619"/>
      <c r="X117" s="1637"/>
      <c r="Y117" s="1659"/>
    </row>
    <row r="118" spans="1:25">
      <c r="A118" s="3143">
        <v>4146</v>
      </c>
      <c r="B118" s="3143"/>
      <c r="C118" s="3143" t="s">
        <v>123</v>
      </c>
      <c r="D118" s="3134" t="s">
        <v>2491</v>
      </c>
      <c r="E118" s="1621" t="s">
        <v>2492</v>
      </c>
      <c r="F118" s="1619"/>
      <c r="G118" s="1636"/>
      <c r="H118" s="1619"/>
      <c r="I118" s="1636"/>
      <c r="J118" s="1636"/>
      <c r="K118" s="1633">
        <v>282</v>
      </c>
      <c r="L118" s="1657">
        <v>1</v>
      </c>
      <c r="M118" s="1655"/>
      <c r="N118" s="1631">
        <f>+N119</f>
        <v>0.04</v>
      </c>
      <c r="O118" s="3137">
        <f>IF(Q118&gt;0,N118,"na")</f>
        <v>0.04</v>
      </c>
      <c r="P118" s="1633">
        <f>+P119</f>
        <v>10382819800</v>
      </c>
      <c r="Q118" s="1633">
        <f>+Q119</f>
        <v>10382819800</v>
      </c>
      <c r="R118" s="1633">
        <f>+R119</f>
        <v>8269112386</v>
      </c>
      <c r="S118" s="1633">
        <f>+S119</f>
        <v>600093390</v>
      </c>
      <c r="T118" s="1657">
        <f>IF(Q118=0,0,R118/Q118)</f>
        <v>0.79642260438729762</v>
      </c>
      <c r="U118" s="1657">
        <f>IF(R118=0,0,S118/R118)</f>
        <v>7.2570472136282316E-2</v>
      </c>
      <c r="V118" s="1658"/>
      <c r="W118" s="1658"/>
      <c r="X118" s="1637"/>
      <c r="Y118" s="3131" t="s">
        <v>2439</v>
      </c>
    </row>
    <row r="119" spans="1:25" ht="145.19999999999999">
      <c r="A119" s="3143"/>
      <c r="B119" s="3143"/>
      <c r="C119" s="3143"/>
      <c r="D119" s="3135"/>
      <c r="E119" s="1621" t="s">
        <v>2493</v>
      </c>
      <c r="F119" s="1619"/>
      <c r="G119" s="1636" t="s">
        <v>2490</v>
      </c>
      <c r="H119" s="1619"/>
      <c r="I119" s="1636" t="s">
        <v>2494</v>
      </c>
      <c r="J119" s="1636" t="s">
        <v>2489</v>
      </c>
      <c r="K119" s="1633">
        <v>282</v>
      </c>
      <c r="L119" s="1657">
        <v>1</v>
      </c>
      <c r="M119" s="1632">
        <v>0</v>
      </c>
      <c r="N119" s="1631">
        <v>0.04</v>
      </c>
      <c r="O119" s="3132"/>
      <c r="P119" s="1633">
        <v>10382819800</v>
      </c>
      <c r="Q119" s="1633">
        <v>10382819800</v>
      </c>
      <c r="R119" s="1633">
        <v>8269112386</v>
      </c>
      <c r="S119" s="1633">
        <v>600093390</v>
      </c>
      <c r="T119" s="1657">
        <f>IF(Q119=0,0,R119/Q119)</f>
        <v>0.79642260438729762</v>
      </c>
      <c r="U119" s="1657">
        <f>IF(R119=0,0,S119/R119)</f>
        <v>7.2570472136282316E-2</v>
      </c>
      <c r="V119" s="1658">
        <v>45372</v>
      </c>
      <c r="W119" s="1658">
        <v>45657</v>
      </c>
      <c r="X119" s="1669" t="s">
        <v>2495</v>
      </c>
      <c r="Y119" s="3138"/>
    </row>
    <row r="120" spans="1:25">
      <c r="A120" s="1619"/>
      <c r="B120" s="1662">
        <v>52020040003</v>
      </c>
      <c r="C120" s="1662" t="s">
        <v>117</v>
      </c>
      <c r="D120" s="1654" t="s">
        <v>2496</v>
      </c>
      <c r="E120" s="1621"/>
      <c r="F120" s="1665"/>
      <c r="G120" s="1636"/>
      <c r="H120" s="1619"/>
      <c r="I120" s="1636"/>
      <c r="J120" s="1636"/>
      <c r="K120" s="1644"/>
      <c r="L120" s="1657"/>
      <c r="M120" s="1655"/>
      <c r="N120" s="1645"/>
      <c r="O120" s="1656"/>
      <c r="P120" s="1644"/>
      <c r="Q120" s="1644"/>
      <c r="R120" s="1644"/>
      <c r="S120" s="1644"/>
      <c r="T120" s="1657"/>
      <c r="U120" s="1657"/>
      <c r="V120" s="1661"/>
      <c r="W120" s="1619"/>
      <c r="X120" s="1637"/>
      <c r="Y120" s="1659"/>
    </row>
    <row r="121" spans="1:25">
      <c r="A121" s="3143">
        <v>4146</v>
      </c>
      <c r="B121" s="3143"/>
      <c r="C121" s="3143" t="s">
        <v>123</v>
      </c>
      <c r="D121" s="3134" t="s">
        <v>2497</v>
      </c>
      <c r="E121" s="1621" t="s">
        <v>2498</v>
      </c>
      <c r="F121" s="1619"/>
      <c r="G121" s="1636"/>
      <c r="H121" s="1619"/>
      <c r="I121" s="1636"/>
      <c r="J121" s="1636"/>
      <c r="K121" s="1633">
        <v>660</v>
      </c>
      <c r="L121" s="1657">
        <v>1</v>
      </c>
      <c r="M121" s="1633"/>
      <c r="N121" s="1631">
        <f>+N123+N122</f>
        <v>0</v>
      </c>
      <c r="O121" s="3137">
        <f>IF(Q121&gt;0,N121,"na")</f>
        <v>0</v>
      </c>
      <c r="P121" s="1633">
        <f>+P123+P122</f>
        <v>9203689917</v>
      </c>
      <c r="Q121" s="1633">
        <f>+Q123+Q122</f>
        <v>9203689917</v>
      </c>
      <c r="R121" s="1633">
        <f>+R123+R122</f>
        <v>0</v>
      </c>
      <c r="S121" s="1633">
        <f>+S123+S122</f>
        <v>0</v>
      </c>
      <c r="T121" s="1657">
        <f t="shared" ref="T121:U123" si="42">IF(Q121=0,0,R121/Q121)</f>
        <v>0</v>
      </c>
      <c r="U121" s="1657">
        <f t="shared" si="42"/>
        <v>0</v>
      </c>
      <c r="V121" s="1658"/>
      <c r="W121" s="1658"/>
      <c r="X121" s="1637"/>
      <c r="Y121" s="3131" t="s">
        <v>2439</v>
      </c>
    </row>
    <row r="122" spans="1:25" ht="52.8">
      <c r="A122" s="3143"/>
      <c r="B122" s="3143"/>
      <c r="C122" s="3143"/>
      <c r="D122" s="3134"/>
      <c r="E122" s="1621" t="s">
        <v>2499</v>
      </c>
      <c r="F122" s="1619"/>
      <c r="G122" s="1636" t="s">
        <v>2496</v>
      </c>
      <c r="H122" s="1619"/>
      <c r="I122" s="1636" t="s">
        <v>2500</v>
      </c>
      <c r="J122" s="1636" t="s">
        <v>2501</v>
      </c>
      <c r="K122" s="1667">
        <v>660</v>
      </c>
      <c r="L122" s="1657">
        <v>0.98</v>
      </c>
      <c r="M122" s="1632">
        <v>0</v>
      </c>
      <c r="N122" s="1631">
        <v>0</v>
      </c>
      <c r="O122" s="3137"/>
      <c r="P122" s="1633">
        <v>8369033600</v>
      </c>
      <c r="Q122" s="1633">
        <v>8369033600</v>
      </c>
      <c r="R122" s="1633">
        <v>0</v>
      </c>
      <c r="S122" s="1633">
        <v>0</v>
      </c>
      <c r="T122" s="1657">
        <f t="shared" si="42"/>
        <v>0</v>
      </c>
      <c r="U122" s="1657">
        <f t="shared" si="42"/>
        <v>0</v>
      </c>
      <c r="V122" s="1658"/>
      <c r="W122" s="1658"/>
      <c r="X122" s="1637"/>
      <c r="Y122" s="3131"/>
    </row>
    <row r="123" spans="1:25" ht="26.4">
      <c r="A123" s="3143"/>
      <c r="B123" s="3143"/>
      <c r="C123" s="3143"/>
      <c r="D123" s="3135"/>
      <c r="E123" s="1621" t="s">
        <v>2502</v>
      </c>
      <c r="F123" s="1619"/>
      <c r="G123" s="1636"/>
      <c r="H123" s="1619"/>
      <c r="I123" s="1636" t="s">
        <v>2503</v>
      </c>
      <c r="J123" s="1636" t="s">
        <v>2504</v>
      </c>
      <c r="K123" s="1667">
        <v>22</v>
      </c>
      <c r="L123" s="1657">
        <v>0.02</v>
      </c>
      <c r="M123" s="1632">
        <v>0</v>
      </c>
      <c r="N123" s="1631">
        <v>0</v>
      </c>
      <c r="O123" s="3132"/>
      <c r="P123" s="1633">
        <v>834656317</v>
      </c>
      <c r="Q123" s="1633">
        <v>834656317</v>
      </c>
      <c r="R123" s="1633">
        <v>0</v>
      </c>
      <c r="S123" s="1633">
        <v>0</v>
      </c>
      <c r="T123" s="1657">
        <f t="shared" si="42"/>
        <v>0</v>
      </c>
      <c r="U123" s="1657">
        <f t="shared" si="42"/>
        <v>0</v>
      </c>
      <c r="V123" s="1658"/>
      <c r="W123" s="1658"/>
      <c r="X123" s="1637"/>
      <c r="Y123" s="3131"/>
    </row>
    <row r="124" spans="1:25" ht="27.6">
      <c r="A124" s="1662"/>
      <c r="B124" s="1662">
        <v>52020040005</v>
      </c>
      <c r="C124" s="1662" t="s">
        <v>117</v>
      </c>
      <c r="D124" s="1654" t="s">
        <v>2505</v>
      </c>
      <c r="E124" s="1621"/>
      <c r="F124" s="1619"/>
      <c r="G124" s="1636"/>
      <c r="H124" s="1619"/>
      <c r="I124" s="1636"/>
      <c r="J124" s="1636"/>
      <c r="K124" s="1633"/>
      <c r="L124" s="1657"/>
      <c r="M124" s="1655"/>
      <c r="N124" s="1631"/>
      <c r="O124" s="1619"/>
      <c r="P124" s="1633"/>
      <c r="Q124" s="1633"/>
      <c r="R124" s="1633"/>
      <c r="S124" s="1633"/>
      <c r="T124" s="1657"/>
      <c r="U124" s="1657"/>
      <c r="V124" s="1658"/>
      <c r="W124" s="1658"/>
      <c r="X124" s="1669"/>
      <c r="Y124" s="1638"/>
    </row>
    <row r="125" spans="1:25">
      <c r="A125" s="3143">
        <v>4146</v>
      </c>
      <c r="B125" s="3143"/>
      <c r="C125" s="3143" t="s">
        <v>123</v>
      </c>
      <c r="D125" s="3134" t="s">
        <v>2506</v>
      </c>
      <c r="E125" s="1621" t="s">
        <v>2507</v>
      </c>
      <c r="F125" s="1619"/>
      <c r="G125" s="1636"/>
      <c r="H125" s="1619"/>
      <c r="I125" s="1636"/>
      <c r="J125" s="1636"/>
      <c r="K125" s="1667">
        <v>100</v>
      </c>
      <c r="L125" s="1657">
        <v>1</v>
      </c>
      <c r="M125" s="1655"/>
      <c r="N125" s="1631">
        <f>+N126</f>
        <v>0</v>
      </c>
      <c r="O125" s="3144">
        <f>IF(Q125&gt;0,N125,"na")</f>
        <v>0</v>
      </c>
      <c r="P125" s="1633">
        <f>+P126</f>
        <v>182280000</v>
      </c>
      <c r="Q125" s="1633">
        <f>+Q126</f>
        <v>182280000</v>
      </c>
      <c r="R125" s="1633">
        <f>+R126</f>
        <v>0</v>
      </c>
      <c r="S125" s="1633">
        <f>+S126</f>
        <v>0</v>
      </c>
      <c r="T125" s="1657">
        <f t="shared" ref="T125:U126" si="43">IF(Q125=0,0,R125/Q125)</f>
        <v>0</v>
      </c>
      <c r="U125" s="1657">
        <f t="shared" si="43"/>
        <v>0</v>
      </c>
      <c r="V125" s="1658"/>
      <c r="W125" s="1658"/>
      <c r="X125" s="1669"/>
      <c r="Y125" s="3131" t="s">
        <v>2279</v>
      </c>
    </row>
    <row r="126" spans="1:25" ht="92.4">
      <c r="A126" s="3143"/>
      <c r="B126" s="3143"/>
      <c r="C126" s="3143"/>
      <c r="D126" s="3134"/>
      <c r="E126" s="1621" t="s">
        <v>2508</v>
      </c>
      <c r="F126" s="1619"/>
      <c r="G126" s="1636" t="s">
        <v>2505</v>
      </c>
      <c r="H126" s="1619"/>
      <c r="I126" s="1636" t="s">
        <v>2509</v>
      </c>
      <c r="J126" s="1636" t="s">
        <v>2510</v>
      </c>
      <c r="K126" s="1667">
        <v>100</v>
      </c>
      <c r="L126" s="1657">
        <v>1</v>
      </c>
      <c r="M126" s="1632">
        <v>0</v>
      </c>
      <c r="N126" s="1631">
        <v>0</v>
      </c>
      <c r="O126" s="3144"/>
      <c r="P126" s="1633">
        <v>182280000</v>
      </c>
      <c r="Q126" s="1633">
        <v>182280000</v>
      </c>
      <c r="R126" s="1633">
        <v>0</v>
      </c>
      <c r="S126" s="1633">
        <v>0</v>
      </c>
      <c r="T126" s="1657">
        <f>IF(Q126=0,0,R126/Q126)</f>
        <v>0</v>
      </c>
      <c r="U126" s="1657">
        <f t="shared" si="43"/>
        <v>0</v>
      </c>
      <c r="V126" s="1658"/>
      <c r="W126" s="1658"/>
      <c r="X126" s="1669"/>
      <c r="Y126" s="3131"/>
    </row>
    <row r="127" spans="1:25" ht="27.6">
      <c r="A127" s="1606"/>
      <c r="B127" s="1606">
        <v>5202005</v>
      </c>
      <c r="C127" s="1606" t="s">
        <v>116</v>
      </c>
      <c r="D127" s="1649" t="s">
        <v>1391</v>
      </c>
      <c r="E127" s="1608"/>
      <c r="F127" s="1606"/>
      <c r="G127" s="1607"/>
      <c r="H127" s="1606"/>
      <c r="I127" s="1649"/>
      <c r="J127" s="1607"/>
      <c r="K127" s="1644"/>
      <c r="L127" s="1645"/>
      <c r="M127" s="1650"/>
      <c r="N127" s="1645"/>
      <c r="O127" s="1651"/>
      <c r="P127" s="1644"/>
      <c r="Q127" s="1644"/>
      <c r="R127" s="1644"/>
      <c r="S127" s="1644"/>
      <c r="T127" s="1645"/>
      <c r="U127" s="1645"/>
      <c r="V127" s="1606"/>
      <c r="W127" s="1606"/>
      <c r="X127" s="1653"/>
      <c r="Y127" s="1614"/>
    </row>
    <row r="128" spans="1:25" ht="41.4">
      <c r="A128" s="1619"/>
      <c r="B128" s="1619">
        <v>52020050001</v>
      </c>
      <c r="C128" s="1619" t="s">
        <v>117</v>
      </c>
      <c r="D128" s="1654" t="s">
        <v>2511</v>
      </c>
      <c r="E128" s="1621"/>
      <c r="F128" s="1665"/>
      <c r="G128" s="1620"/>
      <c r="H128" s="1665"/>
      <c r="I128" s="1687"/>
      <c r="J128" s="1620"/>
      <c r="K128" s="1644"/>
      <c r="L128" s="1645"/>
      <c r="M128" s="1655"/>
      <c r="N128" s="1645"/>
      <c r="O128" s="1656"/>
      <c r="P128" s="1644"/>
      <c r="Q128" s="1644"/>
      <c r="R128" s="1644"/>
      <c r="S128" s="1644"/>
      <c r="T128" s="1657"/>
      <c r="U128" s="1657"/>
      <c r="V128" s="1619"/>
      <c r="W128" s="1619"/>
      <c r="X128" s="1637"/>
      <c r="Y128" s="1628"/>
    </row>
    <row r="129" spans="1:25">
      <c r="A129" s="3132">
        <v>4146</v>
      </c>
      <c r="B129" s="3132"/>
      <c r="C129" s="3132" t="s">
        <v>123</v>
      </c>
      <c r="D129" s="3134" t="s">
        <v>2512</v>
      </c>
      <c r="E129" s="1660" t="s">
        <v>2513</v>
      </c>
      <c r="F129" s="1619"/>
      <c r="G129" s="1620"/>
      <c r="H129" s="1619"/>
      <c r="I129" s="1636"/>
      <c r="J129" s="1636"/>
      <c r="K129" s="1633">
        <v>500</v>
      </c>
      <c r="L129" s="1657">
        <v>1</v>
      </c>
      <c r="M129" s="1655"/>
      <c r="N129" s="1631">
        <f>+N130+N131</f>
        <v>0</v>
      </c>
      <c r="O129" s="3137">
        <f>IF(Q129&gt;0,N129,"na")</f>
        <v>0</v>
      </c>
      <c r="P129" s="1633">
        <f>+P130+P131</f>
        <v>310000000</v>
      </c>
      <c r="Q129" s="1633">
        <f t="shared" ref="Q129:S129" si="44">+Q130+Q131</f>
        <v>310000000</v>
      </c>
      <c r="R129" s="1633">
        <f t="shared" si="44"/>
        <v>0</v>
      </c>
      <c r="S129" s="1633">
        <f t="shared" si="44"/>
        <v>0</v>
      </c>
      <c r="T129" s="1657">
        <f>IF(Q129=0,0,R129/Q129)</f>
        <v>0</v>
      </c>
      <c r="U129" s="1657">
        <f>IF(R129=0,0,S129/R129)</f>
        <v>0</v>
      </c>
      <c r="V129" s="1661"/>
      <c r="W129" s="1661"/>
      <c r="X129" s="1637"/>
      <c r="Y129" s="3131" t="s">
        <v>2279</v>
      </c>
    </row>
    <row r="130" spans="1:25" ht="184.8">
      <c r="A130" s="3132"/>
      <c r="B130" s="3132"/>
      <c r="C130" s="3132"/>
      <c r="D130" s="3134"/>
      <c r="E130" s="1660" t="s">
        <v>2514</v>
      </c>
      <c r="F130" s="1619"/>
      <c r="G130" s="1636" t="s">
        <v>2511</v>
      </c>
      <c r="H130" s="1619"/>
      <c r="I130" s="1636" t="s">
        <v>2515</v>
      </c>
      <c r="J130" s="1636" t="s">
        <v>2516</v>
      </c>
      <c r="K130" s="1667">
        <v>500</v>
      </c>
      <c r="L130" s="1657">
        <v>0.63</v>
      </c>
      <c r="M130" s="1632">
        <v>0</v>
      </c>
      <c r="N130" s="1631">
        <v>0</v>
      </c>
      <c r="O130" s="3137"/>
      <c r="P130" s="1633">
        <v>300000000</v>
      </c>
      <c r="Q130" s="1633">
        <v>300000000</v>
      </c>
      <c r="R130" s="1633">
        <v>0</v>
      </c>
      <c r="S130" s="1633">
        <v>0</v>
      </c>
      <c r="T130" s="1657">
        <f t="shared" ref="T130:U133" si="45">IF(Q130=0,0,R130/Q130)</f>
        <v>0</v>
      </c>
      <c r="U130" s="1657">
        <f>IF(R130=0,0,S130/R130)</f>
        <v>0</v>
      </c>
      <c r="V130" s="1658"/>
      <c r="W130" s="1658"/>
      <c r="X130" s="1637"/>
      <c r="Y130" s="3131"/>
    </row>
    <row r="131" spans="1:25" ht="26.4">
      <c r="A131" s="3132"/>
      <c r="B131" s="3132"/>
      <c r="C131" s="3132"/>
      <c r="D131" s="3134"/>
      <c r="E131" s="1660" t="s">
        <v>2517</v>
      </c>
      <c r="F131" s="1619"/>
      <c r="G131" s="1636"/>
      <c r="H131" s="1619"/>
      <c r="I131" s="1636" t="s">
        <v>2518</v>
      </c>
      <c r="J131" s="1636" t="s">
        <v>2519</v>
      </c>
      <c r="K131" s="1667">
        <v>1</v>
      </c>
      <c r="L131" s="1657">
        <v>0.37</v>
      </c>
      <c r="M131" s="1632">
        <v>0</v>
      </c>
      <c r="N131" s="1631">
        <v>0</v>
      </c>
      <c r="O131" s="3137"/>
      <c r="P131" s="1633">
        <v>10000000</v>
      </c>
      <c r="Q131" s="1633">
        <v>10000000</v>
      </c>
      <c r="R131" s="1633">
        <v>0</v>
      </c>
      <c r="S131" s="1633">
        <v>0</v>
      </c>
      <c r="T131" s="1657">
        <f t="shared" si="45"/>
        <v>0</v>
      </c>
      <c r="U131" s="1657">
        <f>IF(R131=0,0,S131/R131)</f>
        <v>0</v>
      </c>
      <c r="V131" s="1658"/>
      <c r="W131" s="1658"/>
      <c r="X131" s="1637"/>
      <c r="Y131" s="3131"/>
    </row>
    <row r="132" spans="1:25">
      <c r="A132" s="3132">
        <v>4146</v>
      </c>
      <c r="B132" s="3132"/>
      <c r="C132" s="3132" t="s">
        <v>123</v>
      </c>
      <c r="D132" s="3134" t="s">
        <v>2520</v>
      </c>
      <c r="E132" s="1660" t="s">
        <v>2521</v>
      </c>
      <c r="F132" s="1619"/>
      <c r="G132" s="1620"/>
      <c r="H132" s="1619"/>
      <c r="I132" s="1636"/>
      <c r="J132" s="1636"/>
      <c r="K132" s="1633">
        <v>1200</v>
      </c>
      <c r="L132" s="1657">
        <v>1</v>
      </c>
      <c r="M132" s="1655"/>
      <c r="N132" s="1631">
        <f>N133</f>
        <v>0.08</v>
      </c>
      <c r="O132" s="3137">
        <f>IF(Q132&gt;0,N132,"na")</f>
        <v>0.08</v>
      </c>
      <c r="P132" s="1633">
        <f>P133</f>
        <v>1872932976</v>
      </c>
      <c r="Q132" s="1633">
        <f t="shared" ref="Q132:S132" si="46">Q133</f>
        <v>1872932976</v>
      </c>
      <c r="R132" s="1633">
        <f t="shared" si="46"/>
        <v>95734000</v>
      </c>
      <c r="S132" s="1633">
        <f t="shared" si="46"/>
        <v>23154000</v>
      </c>
      <c r="T132" s="1657">
        <f t="shared" si="45"/>
        <v>5.1114482593209463E-2</v>
      </c>
      <c r="U132" s="1657">
        <f t="shared" si="45"/>
        <v>0.24185764723086886</v>
      </c>
      <c r="V132" s="1661"/>
      <c r="W132" s="1661"/>
      <c r="X132" s="1637"/>
      <c r="Y132" s="3131"/>
    </row>
    <row r="133" spans="1:25" ht="184.8">
      <c r="A133" s="3132"/>
      <c r="B133" s="3132"/>
      <c r="C133" s="3132"/>
      <c r="D133" s="3134"/>
      <c r="E133" s="1660" t="s">
        <v>2522</v>
      </c>
      <c r="F133" s="1619"/>
      <c r="G133" s="1636" t="s">
        <v>2511</v>
      </c>
      <c r="H133" s="1619"/>
      <c r="I133" s="1636" t="s">
        <v>2523</v>
      </c>
      <c r="J133" s="1636" t="s">
        <v>2516</v>
      </c>
      <c r="K133" s="1667">
        <v>1200</v>
      </c>
      <c r="L133" s="1657">
        <v>1</v>
      </c>
      <c r="M133" s="1632">
        <v>10</v>
      </c>
      <c r="N133" s="1631">
        <v>0.08</v>
      </c>
      <c r="O133" s="3132"/>
      <c r="P133" s="1633">
        <v>1872932976</v>
      </c>
      <c r="Q133" s="1633">
        <v>1872932976</v>
      </c>
      <c r="R133" s="1633">
        <v>95734000</v>
      </c>
      <c r="S133" s="1633">
        <v>23154000</v>
      </c>
      <c r="T133" s="1657">
        <f t="shared" si="45"/>
        <v>5.1114482593209463E-2</v>
      </c>
      <c r="U133" s="1657">
        <f t="shared" si="45"/>
        <v>0.24185764723086886</v>
      </c>
      <c r="V133" s="1658">
        <v>45307</v>
      </c>
      <c r="W133" s="1661">
        <v>45657</v>
      </c>
      <c r="X133" s="1637" t="s">
        <v>2524</v>
      </c>
      <c r="Y133" s="3131"/>
    </row>
    <row r="134" spans="1:25" ht="27.6">
      <c r="A134" s="1619"/>
      <c r="B134" s="1662">
        <v>52020050002</v>
      </c>
      <c r="C134" s="1619" t="s">
        <v>117</v>
      </c>
      <c r="D134" s="1654" t="s">
        <v>2525</v>
      </c>
      <c r="E134" s="1621"/>
      <c r="F134" s="1665"/>
      <c r="G134" s="1620"/>
      <c r="H134" s="1619"/>
      <c r="I134" s="1636"/>
      <c r="J134" s="1620"/>
      <c r="K134" s="1644"/>
      <c r="L134" s="1645"/>
      <c r="M134" s="1655"/>
      <c r="N134" s="1645"/>
      <c r="O134" s="1656"/>
      <c r="P134" s="1644"/>
      <c r="Q134" s="1644"/>
      <c r="R134" s="1644"/>
      <c r="S134" s="1644"/>
      <c r="T134" s="1657"/>
      <c r="U134" s="1657"/>
      <c r="V134" s="1619"/>
      <c r="W134" s="1619"/>
      <c r="X134" s="1637"/>
      <c r="Y134" s="1628"/>
    </row>
    <row r="135" spans="1:25">
      <c r="A135" s="3132">
        <v>4146</v>
      </c>
      <c r="B135" s="3132"/>
      <c r="C135" s="3132" t="s">
        <v>123</v>
      </c>
      <c r="D135" s="3134" t="s">
        <v>2526</v>
      </c>
      <c r="E135" s="1621" t="s">
        <v>2527</v>
      </c>
      <c r="F135" s="1619"/>
      <c r="G135" s="1620"/>
      <c r="H135" s="1619"/>
      <c r="I135" s="1636"/>
      <c r="J135" s="1620"/>
      <c r="K135" s="1633">
        <v>390</v>
      </c>
      <c r="L135" s="1631">
        <v>1</v>
      </c>
      <c r="M135" s="1655"/>
      <c r="N135" s="1631">
        <f>+N136+N137</f>
        <v>0</v>
      </c>
      <c r="O135" s="3137">
        <f>IF(Q135&gt;0,N135,"na")</f>
        <v>0</v>
      </c>
      <c r="P135" s="1633">
        <f>+P136+P137</f>
        <v>460000000</v>
      </c>
      <c r="Q135" s="1633">
        <f>+Q136+Q137</f>
        <v>460000000</v>
      </c>
      <c r="R135" s="1633">
        <f>+R136+R137</f>
        <v>0</v>
      </c>
      <c r="S135" s="1633">
        <f>+S136+S137</f>
        <v>0</v>
      </c>
      <c r="T135" s="1657">
        <f t="shared" ref="T135:U137" si="47">IF(Q135=0,0,R135/Q135)</f>
        <v>0</v>
      </c>
      <c r="U135" s="1657">
        <f t="shared" si="47"/>
        <v>0</v>
      </c>
      <c r="V135" s="1658"/>
      <c r="W135" s="1658"/>
      <c r="X135" s="1637"/>
      <c r="Y135" s="3131" t="s">
        <v>2439</v>
      </c>
    </row>
    <row r="136" spans="1:25" ht="92.4">
      <c r="A136" s="3132"/>
      <c r="B136" s="3132"/>
      <c r="C136" s="3132"/>
      <c r="D136" s="3135"/>
      <c r="E136" s="1621" t="s">
        <v>2528</v>
      </c>
      <c r="F136" s="1619"/>
      <c r="G136" s="1629" t="s">
        <v>2525</v>
      </c>
      <c r="H136" s="1615"/>
      <c r="I136" s="1629" t="s">
        <v>2529</v>
      </c>
      <c r="J136" s="1636" t="s">
        <v>2530</v>
      </c>
      <c r="K136" s="1633">
        <v>190</v>
      </c>
      <c r="L136" s="1631">
        <v>0.76</v>
      </c>
      <c r="M136" s="1632">
        <v>0</v>
      </c>
      <c r="N136" s="1631">
        <v>0</v>
      </c>
      <c r="O136" s="3132"/>
      <c r="P136" s="1633">
        <v>390184780</v>
      </c>
      <c r="Q136" s="1633">
        <v>390184780</v>
      </c>
      <c r="R136" s="1633">
        <v>0</v>
      </c>
      <c r="S136" s="1633">
        <v>0</v>
      </c>
      <c r="T136" s="1657">
        <f t="shared" si="47"/>
        <v>0</v>
      </c>
      <c r="U136" s="1657">
        <f t="shared" si="47"/>
        <v>0</v>
      </c>
      <c r="V136" s="1658"/>
      <c r="W136" s="1661"/>
      <c r="X136" s="1637"/>
      <c r="Y136" s="3131"/>
    </row>
    <row r="137" spans="1:25" ht="92.4">
      <c r="A137" s="3132"/>
      <c r="B137" s="3132"/>
      <c r="C137" s="3132"/>
      <c r="D137" s="3135"/>
      <c r="E137" s="1621" t="s">
        <v>2531</v>
      </c>
      <c r="F137" s="1619"/>
      <c r="G137" s="1629" t="s">
        <v>2525</v>
      </c>
      <c r="H137" s="1615"/>
      <c r="I137" s="1629" t="s">
        <v>2532</v>
      </c>
      <c r="J137" s="1636" t="s">
        <v>2533</v>
      </c>
      <c r="K137" s="1633">
        <v>200</v>
      </c>
      <c r="L137" s="1631">
        <v>0.24</v>
      </c>
      <c r="M137" s="1632">
        <v>0</v>
      </c>
      <c r="N137" s="1631">
        <v>0</v>
      </c>
      <c r="O137" s="3132"/>
      <c r="P137" s="1633">
        <v>69815220</v>
      </c>
      <c r="Q137" s="1633">
        <v>69815220</v>
      </c>
      <c r="R137" s="1633">
        <v>0</v>
      </c>
      <c r="S137" s="1633">
        <v>0</v>
      </c>
      <c r="T137" s="1657">
        <f t="shared" si="47"/>
        <v>0</v>
      </c>
      <c r="U137" s="1657">
        <f t="shared" si="47"/>
        <v>0</v>
      </c>
      <c r="V137" s="1658"/>
      <c r="W137" s="1661"/>
      <c r="X137" s="1637"/>
      <c r="Y137" s="3131"/>
    </row>
    <row r="138" spans="1:25">
      <c r="A138" s="1606"/>
      <c r="B138" s="1606">
        <v>5202006</v>
      </c>
      <c r="C138" s="1606" t="s">
        <v>116</v>
      </c>
      <c r="D138" s="1649" t="s">
        <v>1847</v>
      </c>
      <c r="E138" s="1608"/>
      <c r="F138" s="1606"/>
      <c r="G138" s="1607"/>
      <c r="H138" s="1606"/>
      <c r="I138" s="1649"/>
      <c r="J138" s="1607"/>
      <c r="K138" s="1683"/>
      <c r="L138" s="1645"/>
      <c r="M138" s="1650"/>
      <c r="N138" s="1645"/>
      <c r="O138" s="1651"/>
      <c r="P138" s="1644"/>
      <c r="Q138" s="1644"/>
      <c r="R138" s="1644"/>
      <c r="S138" s="1644"/>
      <c r="T138" s="1645"/>
      <c r="U138" s="1645"/>
      <c r="V138" s="1606"/>
      <c r="W138" s="1606"/>
      <c r="X138" s="1653"/>
      <c r="Y138" s="1614"/>
    </row>
    <row r="139" spans="1:25" ht="27.6">
      <c r="A139" s="1619"/>
      <c r="B139" s="1662">
        <v>52020060003</v>
      </c>
      <c r="C139" s="1619" t="s">
        <v>117</v>
      </c>
      <c r="D139" s="1654" t="s">
        <v>2534</v>
      </c>
      <c r="E139" s="1621"/>
      <c r="F139" s="1619"/>
      <c r="G139" s="1636"/>
      <c r="H139" s="1619"/>
      <c r="I139" s="1688"/>
      <c r="J139" s="1620"/>
      <c r="K139" s="1633"/>
      <c r="L139" s="1631"/>
      <c r="M139" s="1655"/>
      <c r="N139" s="1631"/>
      <c r="O139" s="1656"/>
      <c r="P139" s="1633"/>
      <c r="Q139" s="1633"/>
      <c r="R139" s="1633"/>
      <c r="S139" s="1633"/>
      <c r="T139" s="1657"/>
      <c r="U139" s="1657"/>
      <c r="V139" s="1619"/>
      <c r="W139" s="1619"/>
      <c r="X139" s="1637"/>
      <c r="Y139" s="1638"/>
    </row>
    <row r="140" spans="1:25">
      <c r="A140" s="3132">
        <v>4146</v>
      </c>
      <c r="B140" s="3132"/>
      <c r="C140" s="3132" t="s">
        <v>123</v>
      </c>
      <c r="D140" s="3134" t="s">
        <v>2535</v>
      </c>
      <c r="E140" s="1660" t="s">
        <v>2536</v>
      </c>
      <c r="F140" s="1619"/>
      <c r="G140" s="1636"/>
      <c r="H140" s="1619"/>
      <c r="I140" s="1688"/>
      <c r="J140" s="1636"/>
      <c r="K140" s="1633">
        <v>1</v>
      </c>
      <c r="L140" s="1657">
        <v>1</v>
      </c>
      <c r="M140" s="1633"/>
      <c r="N140" s="1631">
        <f>N141</f>
        <v>0</v>
      </c>
      <c r="O140" s="3137">
        <f>IF(Q140&gt;0,N140,"na")</f>
        <v>0</v>
      </c>
      <c r="P140" s="1633">
        <f>P141</f>
        <v>76795782</v>
      </c>
      <c r="Q140" s="1633">
        <f t="shared" ref="Q140:S140" si="48">Q141</f>
        <v>76795782</v>
      </c>
      <c r="R140" s="1633">
        <f t="shared" si="48"/>
        <v>0</v>
      </c>
      <c r="S140" s="1633">
        <f t="shared" si="48"/>
        <v>0</v>
      </c>
      <c r="T140" s="1657">
        <f t="shared" ref="T140:U141" si="49">IF(Q140=0,0,R140/Q140)</f>
        <v>0</v>
      </c>
      <c r="U140" s="1657">
        <f t="shared" si="49"/>
        <v>0</v>
      </c>
      <c r="V140" s="1661"/>
      <c r="W140" s="1661"/>
      <c r="X140" s="1637"/>
      <c r="Y140" s="3131" t="s">
        <v>2279</v>
      </c>
    </row>
    <row r="141" spans="1:25" ht="132">
      <c r="A141" s="3132"/>
      <c r="B141" s="3132"/>
      <c r="C141" s="3132"/>
      <c r="D141" s="3135"/>
      <c r="E141" s="1660" t="s">
        <v>2537</v>
      </c>
      <c r="F141" s="1619"/>
      <c r="G141" s="1636" t="s">
        <v>2534</v>
      </c>
      <c r="H141" s="1619"/>
      <c r="I141" s="1636" t="s">
        <v>2538</v>
      </c>
      <c r="J141" s="1636" t="s">
        <v>2539</v>
      </c>
      <c r="K141" s="1633">
        <v>1</v>
      </c>
      <c r="L141" s="1657">
        <v>1</v>
      </c>
      <c r="M141" s="1632">
        <v>0</v>
      </c>
      <c r="N141" s="1631">
        <v>0</v>
      </c>
      <c r="O141" s="3132"/>
      <c r="P141" s="1633">
        <v>76795782</v>
      </c>
      <c r="Q141" s="1633">
        <v>76795782</v>
      </c>
      <c r="R141" s="1633">
        <v>0</v>
      </c>
      <c r="S141" s="1633">
        <v>0</v>
      </c>
      <c r="T141" s="1657">
        <f t="shared" si="49"/>
        <v>0</v>
      </c>
      <c r="U141" s="1657">
        <f>IF(R141=0,0,S141/R141)</f>
        <v>0</v>
      </c>
      <c r="V141" s="1658"/>
      <c r="W141" s="1658"/>
      <c r="X141" s="1637"/>
      <c r="Y141" s="3138"/>
    </row>
    <row r="142" spans="1:25" ht="41.4">
      <c r="A142" s="1619"/>
      <c r="B142" s="1662">
        <v>52020060004</v>
      </c>
      <c r="C142" s="1619" t="s">
        <v>117</v>
      </c>
      <c r="D142" s="1654" t="s">
        <v>2540</v>
      </c>
      <c r="E142" s="1621"/>
      <c r="F142" s="1619"/>
      <c r="G142" s="1620"/>
      <c r="H142" s="1619"/>
      <c r="I142" s="1636"/>
      <c r="J142" s="1620"/>
      <c r="K142" s="1644"/>
      <c r="L142" s="1645"/>
      <c r="M142" s="1655"/>
      <c r="N142" s="1645"/>
      <c r="O142" s="1656"/>
      <c r="P142" s="1644"/>
      <c r="Q142" s="1644"/>
      <c r="R142" s="1644"/>
      <c r="S142" s="1644"/>
      <c r="T142" s="1657"/>
      <c r="U142" s="1657"/>
      <c r="V142" s="1619"/>
      <c r="W142" s="1619"/>
      <c r="X142" s="1637"/>
      <c r="Y142" s="1628"/>
    </row>
    <row r="143" spans="1:25">
      <c r="A143" s="3132">
        <v>4146</v>
      </c>
      <c r="B143" s="3132"/>
      <c r="C143" s="3132" t="s">
        <v>123</v>
      </c>
      <c r="D143" s="3134" t="s">
        <v>2541</v>
      </c>
      <c r="E143" s="1621" t="s">
        <v>2542</v>
      </c>
      <c r="F143" s="1619"/>
      <c r="G143" s="1620"/>
      <c r="H143" s="1619"/>
      <c r="I143" s="1636"/>
      <c r="J143" s="1620"/>
      <c r="K143" s="1633">
        <v>1</v>
      </c>
      <c r="L143" s="1631">
        <v>1</v>
      </c>
      <c r="M143" s="1633"/>
      <c r="N143" s="1631">
        <f>+N144+N145+N146</f>
        <v>0.05</v>
      </c>
      <c r="O143" s="3137">
        <f>IF(Q143&gt;0,N143,"na")</f>
        <v>0.05</v>
      </c>
      <c r="P143" s="1633">
        <f>+P144+P145+P146</f>
        <v>3409734336</v>
      </c>
      <c r="Q143" s="1633">
        <f>+Q144+Q145+Q146</f>
        <v>3409734336</v>
      </c>
      <c r="R143" s="1633">
        <f>+R144+R145+R146</f>
        <v>81924000</v>
      </c>
      <c r="S143" s="1633">
        <f>+S144+S145+S146</f>
        <v>0</v>
      </c>
      <c r="T143" s="1657">
        <f t="shared" ref="T143:U150" si="50">IF(Q143=0,0,R143/Q143)</f>
        <v>2.4026505271993133E-2</v>
      </c>
      <c r="U143" s="1657">
        <f t="shared" si="50"/>
        <v>0</v>
      </c>
      <c r="V143" s="1658"/>
      <c r="W143" s="1658"/>
      <c r="X143" s="1637"/>
      <c r="Y143" s="3131" t="s">
        <v>2439</v>
      </c>
    </row>
    <row r="144" spans="1:25" ht="92.4">
      <c r="A144" s="3132"/>
      <c r="B144" s="3132"/>
      <c r="C144" s="3132"/>
      <c r="D144" s="3135"/>
      <c r="E144" s="1621" t="s">
        <v>2543</v>
      </c>
      <c r="F144" s="1619"/>
      <c r="G144" s="1636"/>
      <c r="H144" s="1689"/>
      <c r="I144" s="1629" t="s">
        <v>2544</v>
      </c>
      <c r="J144" s="1636" t="s">
        <v>2516</v>
      </c>
      <c r="K144" s="1633">
        <v>6000</v>
      </c>
      <c r="L144" s="1631">
        <v>0.6</v>
      </c>
      <c r="M144" s="1632">
        <v>2</v>
      </c>
      <c r="N144" s="1631">
        <v>0.03</v>
      </c>
      <c r="O144" s="3132"/>
      <c r="P144" s="1633">
        <v>1512000000</v>
      </c>
      <c r="Q144" s="1633">
        <v>1512000000</v>
      </c>
      <c r="R144" s="1633">
        <v>76766000</v>
      </c>
      <c r="S144" s="1633">
        <v>0</v>
      </c>
      <c r="T144" s="1657">
        <f t="shared" si="50"/>
        <v>5.0771164021164022E-2</v>
      </c>
      <c r="U144" s="1657">
        <f t="shared" si="50"/>
        <v>0</v>
      </c>
      <c r="V144" s="1658">
        <v>45338</v>
      </c>
      <c r="W144" s="1658">
        <v>45657</v>
      </c>
      <c r="X144" s="1669" t="s">
        <v>2545</v>
      </c>
      <c r="Y144" s="3138"/>
    </row>
    <row r="145" spans="1:25" ht="66">
      <c r="A145" s="3132"/>
      <c r="B145" s="3132"/>
      <c r="C145" s="3132"/>
      <c r="D145" s="3135"/>
      <c r="E145" s="1621" t="s">
        <v>2546</v>
      </c>
      <c r="F145" s="1619"/>
      <c r="G145" s="1620"/>
      <c r="H145" s="1619"/>
      <c r="I145" s="1629" t="s">
        <v>2547</v>
      </c>
      <c r="J145" s="1636" t="s">
        <v>2539</v>
      </c>
      <c r="K145" s="1633">
        <v>4</v>
      </c>
      <c r="L145" s="1631">
        <v>0.2</v>
      </c>
      <c r="M145" s="1632">
        <v>0</v>
      </c>
      <c r="N145" s="1631">
        <v>0.02</v>
      </c>
      <c r="O145" s="3132"/>
      <c r="P145" s="1633">
        <v>412800000</v>
      </c>
      <c r="Q145" s="1633">
        <v>412800000</v>
      </c>
      <c r="R145" s="1633">
        <v>5158000</v>
      </c>
      <c r="S145" s="1633">
        <v>0</v>
      </c>
      <c r="T145" s="1657">
        <f t="shared" si="50"/>
        <v>1.2495155038759691E-2</v>
      </c>
      <c r="U145" s="1657">
        <f t="shared" si="50"/>
        <v>0</v>
      </c>
      <c r="V145" s="1658">
        <v>45377</v>
      </c>
      <c r="W145" s="1658">
        <v>45657</v>
      </c>
      <c r="X145" s="1637" t="s">
        <v>2548</v>
      </c>
      <c r="Y145" s="3138"/>
    </row>
    <row r="146" spans="1:25" ht="132">
      <c r="A146" s="3132"/>
      <c r="B146" s="3132"/>
      <c r="C146" s="3132"/>
      <c r="D146" s="3135"/>
      <c r="E146" s="1621" t="s">
        <v>2549</v>
      </c>
      <c r="F146" s="1619"/>
      <c r="G146" s="1636" t="s">
        <v>2540</v>
      </c>
      <c r="H146" s="1619"/>
      <c r="I146" s="1629" t="s">
        <v>2550</v>
      </c>
      <c r="J146" s="1636" t="s">
        <v>132</v>
      </c>
      <c r="K146" s="1633">
        <v>1</v>
      </c>
      <c r="L146" s="1631">
        <v>0.2</v>
      </c>
      <c r="M146" s="1632">
        <v>0</v>
      </c>
      <c r="N146" s="1631">
        <v>0</v>
      </c>
      <c r="O146" s="3132"/>
      <c r="P146" s="1633">
        <v>1484934336</v>
      </c>
      <c r="Q146" s="1633">
        <v>1484934336</v>
      </c>
      <c r="R146" s="1633">
        <v>0</v>
      </c>
      <c r="S146" s="1633">
        <v>0</v>
      </c>
      <c r="T146" s="1657">
        <f t="shared" si="50"/>
        <v>0</v>
      </c>
      <c r="U146" s="1657">
        <f t="shared" si="50"/>
        <v>0</v>
      </c>
      <c r="V146" s="1658"/>
      <c r="W146" s="1658"/>
      <c r="X146" s="1669"/>
      <c r="Y146" s="3138"/>
    </row>
    <row r="147" spans="1:25">
      <c r="A147" s="1619"/>
      <c r="B147" s="1619">
        <v>52020060005</v>
      </c>
      <c r="C147" s="1619" t="s">
        <v>117</v>
      </c>
      <c r="D147" s="1620" t="s">
        <v>2551</v>
      </c>
      <c r="E147" s="1621"/>
      <c r="F147" s="1619"/>
      <c r="G147" s="1636"/>
      <c r="H147" s="1619"/>
      <c r="I147" s="1629"/>
      <c r="J147" s="1636"/>
      <c r="K147" s="1633"/>
      <c r="L147" s="1631"/>
      <c r="M147" s="1633"/>
      <c r="N147" s="1631"/>
      <c r="O147" s="1619"/>
      <c r="P147" s="1633"/>
      <c r="Q147" s="1633"/>
      <c r="R147" s="1633"/>
      <c r="S147" s="1633"/>
      <c r="T147" s="1657"/>
      <c r="U147" s="1657"/>
      <c r="V147" s="1658"/>
      <c r="W147" s="1658"/>
      <c r="X147" s="1669"/>
      <c r="Y147" s="1638"/>
    </row>
    <row r="148" spans="1:25">
      <c r="A148" s="3132">
        <v>4146</v>
      </c>
      <c r="B148" s="3132"/>
      <c r="C148" s="3132" t="s">
        <v>123</v>
      </c>
      <c r="D148" s="3134" t="s">
        <v>2552</v>
      </c>
      <c r="E148" s="1621" t="s">
        <v>2553</v>
      </c>
      <c r="F148" s="1619"/>
      <c r="G148" s="1636"/>
      <c r="H148" s="1619"/>
      <c r="I148" s="1629"/>
      <c r="J148" s="1636"/>
      <c r="K148" s="1633">
        <v>2</v>
      </c>
      <c r="L148" s="1631">
        <v>1</v>
      </c>
      <c r="M148" s="1633"/>
      <c r="N148" s="1631">
        <f>+N149+N150</f>
        <v>0.03</v>
      </c>
      <c r="O148" s="3142">
        <f>IF(Q148&gt;0,N148,"na")</f>
        <v>0.03</v>
      </c>
      <c r="P148" s="1633">
        <f>+P149+P150</f>
        <v>548000000</v>
      </c>
      <c r="Q148" s="1633">
        <f>+Q149+Q150</f>
        <v>548000000</v>
      </c>
      <c r="R148" s="1633">
        <f>+R149+R150</f>
        <v>26155000</v>
      </c>
      <c r="S148" s="1633">
        <f>+S149+S150</f>
        <v>0</v>
      </c>
      <c r="T148" s="1657">
        <f t="shared" si="50"/>
        <v>4.7728102189781019E-2</v>
      </c>
      <c r="U148" s="1657">
        <f t="shared" si="50"/>
        <v>0</v>
      </c>
      <c r="V148" s="1658"/>
      <c r="W148" s="1658"/>
      <c r="X148" s="1669"/>
      <c r="Y148" s="3131" t="s">
        <v>2439</v>
      </c>
    </row>
    <row r="149" spans="1:25" ht="66">
      <c r="A149" s="3132"/>
      <c r="B149" s="3132"/>
      <c r="C149" s="3132"/>
      <c r="D149" s="3134"/>
      <c r="E149" s="1621" t="s">
        <v>2554</v>
      </c>
      <c r="F149" s="1619"/>
      <c r="G149" s="1636" t="s">
        <v>2551</v>
      </c>
      <c r="H149" s="1619"/>
      <c r="I149" s="1690" t="s">
        <v>2555</v>
      </c>
      <c r="J149" s="1636" t="s">
        <v>2539</v>
      </c>
      <c r="K149" s="1633">
        <v>1</v>
      </c>
      <c r="L149" s="1631">
        <v>0.6</v>
      </c>
      <c r="M149" s="1632">
        <v>0</v>
      </c>
      <c r="N149" s="1631">
        <v>0.03</v>
      </c>
      <c r="O149" s="3142"/>
      <c r="P149" s="1633">
        <v>344000000</v>
      </c>
      <c r="Q149" s="1633">
        <v>344000000</v>
      </c>
      <c r="R149" s="1633">
        <v>26155000</v>
      </c>
      <c r="S149" s="1633">
        <v>0</v>
      </c>
      <c r="T149" s="1657">
        <f t="shared" si="50"/>
        <v>7.6031976744186047E-2</v>
      </c>
      <c r="U149" s="1657">
        <f>IF(R149=0,0,S149/R149)</f>
        <v>0</v>
      </c>
      <c r="V149" s="1658">
        <v>45338</v>
      </c>
      <c r="W149" s="1658">
        <v>45657</v>
      </c>
      <c r="X149" s="1669" t="s">
        <v>2556</v>
      </c>
      <c r="Y149" s="3131"/>
    </row>
    <row r="150" spans="1:25" ht="66">
      <c r="A150" s="3132"/>
      <c r="B150" s="3132"/>
      <c r="C150" s="3132"/>
      <c r="D150" s="3134"/>
      <c r="E150" s="1621" t="s">
        <v>2557</v>
      </c>
      <c r="F150" s="1619"/>
      <c r="G150" s="1636"/>
      <c r="H150" s="1621"/>
      <c r="I150" s="1690" t="s">
        <v>2558</v>
      </c>
      <c r="J150" s="1636" t="s">
        <v>132</v>
      </c>
      <c r="K150" s="1633">
        <v>1</v>
      </c>
      <c r="L150" s="1631">
        <v>0.4</v>
      </c>
      <c r="M150" s="1632">
        <v>0</v>
      </c>
      <c r="N150" s="1631">
        <v>0</v>
      </c>
      <c r="O150" s="3142"/>
      <c r="P150" s="1633">
        <v>204000000</v>
      </c>
      <c r="Q150" s="1633">
        <v>204000000</v>
      </c>
      <c r="R150" s="1633">
        <v>0</v>
      </c>
      <c r="S150" s="1633">
        <v>0</v>
      </c>
      <c r="T150" s="1657">
        <f t="shared" si="50"/>
        <v>0</v>
      </c>
      <c r="U150" s="1657">
        <f t="shared" si="50"/>
        <v>0</v>
      </c>
      <c r="V150" s="1658"/>
      <c r="W150" s="1658"/>
      <c r="X150" s="1669"/>
      <c r="Y150" s="3131"/>
    </row>
    <row r="151" spans="1:25">
      <c r="A151" s="1606"/>
      <c r="B151" s="1606">
        <v>5202008</v>
      </c>
      <c r="C151" s="1606" t="s">
        <v>116</v>
      </c>
      <c r="D151" s="1649" t="s">
        <v>2559</v>
      </c>
      <c r="E151" s="1608"/>
      <c r="F151" s="1606"/>
      <c r="G151" s="1607"/>
      <c r="H151" s="1606"/>
      <c r="I151" s="1649"/>
      <c r="J151" s="1607"/>
      <c r="K151" s="1644"/>
      <c r="L151" s="1645"/>
      <c r="M151" s="1650"/>
      <c r="N151" s="1645"/>
      <c r="O151" s="1651"/>
      <c r="P151" s="1644"/>
      <c r="Q151" s="1644"/>
      <c r="R151" s="1644"/>
      <c r="S151" s="1644"/>
      <c r="T151" s="1645"/>
      <c r="U151" s="1645"/>
      <c r="V151" s="1606"/>
      <c r="W151" s="1606"/>
      <c r="X151" s="1653"/>
      <c r="Y151" s="1614"/>
    </row>
    <row r="152" spans="1:25" ht="27.6">
      <c r="A152" s="1619"/>
      <c r="B152" s="1662">
        <v>52020080001</v>
      </c>
      <c r="C152" s="1619" t="s">
        <v>117</v>
      </c>
      <c r="D152" s="1654" t="s">
        <v>2560</v>
      </c>
      <c r="E152" s="1621"/>
      <c r="F152" s="1619"/>
      <c r="G152" s="1620"/>
      <c r="H152" s="1619"/>
      <c r="I152" s="1636"/>
      <c r="J152" s="1620"/>
      <c r="K152" s="1644"/>
      <c r="L152" s="1645"/>
      <c r="M152" s="1655"/>
      <c r="N152" s="1645"/>
      <c r="O152" s="1656"/>
      <c r="P152" s="1644"/>
      <c r="Q152" s="1644"/>
      <c r="R152" s="1644"/>
      <c r="S152" s="1644"/>
      <c r="T152" s="1657"/>
      <c r="U152" s="1657"/>
      <c r="V152" s="1619"/>
      <c r="W152" s="1619"/>
      <c r="X152" s="1637"/>
      <c r="Y152" s="1628"/>
    </row>
    <row r="153" spans="1:25">
      <c r="A153" s="3132">
        <v>4146</v>
      </c>
      <c r="B153" s="3132"/>
      <c r="C153" s="3132" t="s">
        <v>123</v>
      </c>
      <c r="D153" s="3134" t="s">
        <v>2561</v>
      </c>
      <c r="E153" s="1621" t="s">
        <v>2562</v>
      </c>
      <c r="F153" s="1619"/>
      <c r="G153" s="1620"/>
      <c r="H153" s="1619"/>
      <c r="I153" s="1636"/>
      <c r="J153" s="1620"/>
      <c r="K153" s="1633">
        <v>400</v>
      </c>
      <c r="L153" s="1631">
        <v>1</v>
      </c>
      <c r="M153" s="1655"/>
      <c r="N153" s="1631">
        <f>+N154+N155</f>
        <v>0.12</v>
      </c>
      <c r="O153" s="3137">
        <f>IF(Q153&gt;0,N153,"na")</f>
        <v>0.12</v>
      </c>
      <c r="P153" s="1633">
        <f>+P154+P155</f>
        <v>600104000</v>
      </c>
      <c r="Q153" s="1633">
        <f>+Q154+Q155</f>
        <v>600104000</v>
      </c>
      <c r="R153" s="1633">
        <f>+R154+R155</f>
        <v>58107500</v>
      </c>
      <c r="S153" s="1633">
        <f>+S154+S155</f>
        <v>14345500</v>
      </c>
      <c r="T153" s="1657">
        <f t="shared" ref="T153:U155" si="51">IF(Q153=0,0,R153/Q153)</f>
        <v>9.6829049631397227E-2</v>
      </c>
      <c r="U153" s="1657">
        <f t="shared" si="51"/>
        <v>0.24687863012519898</v>
      </c>
      <c r="V153" s="1658"/>
      <c r="W153" s="1658"/>
      <c r="X153" s="1637"/>
      <c r="Y153" s="3131" t="s">
        <v>2439</v>
      </c>
    </row>
    <row r="154" spans="1:25" ht="145.19999999999999">
      <c r="A154" s="3132"/>
      <c r="B154" s="3132"/>
      <c r="C154" s="3132"/>
      <c r="D154" s="3135"/>
      <c r="E154" s="1621" t="s">
        <v>2563</v>
      </c>
      <c r="F154" s="1619"/>
      <c r="G154" s="1636" t="s">
        <v>2560</v>
      </c>
      <c r="H154" s="1619"/>
      <c r="I154" s="1636" t="s">
        <v>2564</v>
      </c>
      <c r="J154" s="1636" t="s">
        <v>2516</v>
      </c>
      <c r="K154" s="1667">
        <v>400</v>
      </c>
      <c r="L154" s="1668">
        <v>0.6</v>
      </c>
      <c r="M154" s="1632">
        <v>21</v>
      </c>
      <c r="N154" s="1631">
        <v>0.12</v>
      </c>
      <c r="O154" s="3132"/>
      <c r="P154" s="1633">
        <v>507704000</v>
      </c>
      <c r="Q154" s="1633">
        <v>507704000</v>
      </c>
      <c r="R154" s="1633">
        <v>58107500</v>
      </c>
      <c r="S154" s="1633">
        <v>14345500</v>
      </c>
      <c r="T154" s="1657">
        <f>IF(Q154=0,0,R154/Q154)</f>
        <v>0.11445153081322976</v>
      </c>
      <c r="U154" s="1657">
        <f t="shared" si="51"/>
        <v>0.24687863012519898</v>
      </c>
      <c r="V154" s="1658">
        <v>45309</v>
      </c>
      <c r="W154" s="1658">
        <v>45657</v>
      </c>
      <c r="X154" s="1669" t="s">
        <v>2565</v>
      </c>
      <c r="Y154" s="3138"/>
    </row>
    <row r="155" spans="1:25" ht="39.6">
      <c r="A155" s="3132"/>
      <c r="B155" s="3132"/>
      <c r="C155" s="3132"/>
      <c r="D155" s="3135"/>
      <c r="E155" s="1621" t="s">
        <v>2566</v>
      </c>
      <c r="F155" s="1619"/>
      <c r="G155" s="1636"/>
      <c r="H155" s="1619"/>
      <c r="I155" s="1636" t="s">
        <v>2567</v>
      </c>
      <c r="J155" s="1636" t="s">
        <v>2519</v>
      </c>
      <c r="K155" s="1667">
        <v>1</v>
      </c>
      <c r="L155" s="1668">
        <v>0.4</v>
      </c>
      <c r="M155" s="1632">
        <v>0</v>
      </c>
      <c r="N155" s="1631">
        <v>0</v>
      </c>
      <c r="O155" s="3132"/>
      <c r="P155" s="1633">
        <v>92400000</v>
      </c>
      <c r="Q155" s="1633">
        <v>92400000</v>
      </c>
      <c r="R155" s="1633">
        <v>0</v>
      </c>
      <c r="S155" s="1633">
        <v>0</v>
      </c>
      <c r="T155" s="1657">
        <f t="shared" si="51"/>
        <v>0</v>
      </c>
      <c r="U155" s="1657">
        <f t="shared" si="51"/>
        <v>0</v>
      </c>
      <c r="V155" s="1658"/>
      <c r="W155" s="1661"/>
      <c r="X155" s="1669"/>
      <c r="Y155" s="3138"/>
    </row>
    <row r="156" spans="1:25" ht="26.4">
      <c r="A156" s="1619"/>
      <c r="B156" s="1619">
        <v>52020080002</v>
      </c>
      <c r="C156" s="1619" t="s">
        <v>117</v>
      </c>
      <c r="D156" s="1636" t="s">
        <v>2568</v>
      </c>
      <c r="E156" s="1621"/>
      <c r="F156" s="1619"/>
      <c r="G156" s="1636"/>
      <c r="H156" s="1619"/>
      <c r="I156" s="1636"/>
      <c r="J156" s="1636"/>
      <c r="K156" s="1667"/>
      <c r="L156" s="1668"/>
      <c r="M156" s="1655"/>
      <c r="N156" s="1631"/>
      <c r="O156" s="1619"/>
      <c r="P156" s="1633"/>
      <c r="Q156" s="1633"/>
      <c r="R156" s="1633"/>
      <c r="S156" s="1633"/>
      <c r="T156" s="1657"/>
      <c r="U156" s="1657"/>
      <c r="V156" s="1658"/>
      <c r="W156" s="1661"/>
      <c r="X156" s="1669"/>
      <c r="Y156" s="1638"/>
    </row>
    <row r="157" spans="1:25">
      <c r="A157" s="3132">
        <v>4146</v>
      </c>
      <c r="B157" s="3132"/>
      <c r="C157" s="3132" t="s">
        <v>123</v>
      </c>
      <c r="D157" s="3134" t="s">
        <v>2569</v>
      </c>
      <c r="E157" s="1621" t="s">
        <v>2570</v>
      </c>
      <c r="F157" s="1619"/>
      <c r="G157" s="1636"/>
      <c r="H157" s="1619"/>
      <c r="I157" s="1636"/>
      <c r="J157" s="1636"/>
      <c r="K157" s="1667">
        <v>5</v>
      </c>
      <c r="L157" s="1668">
        <v>1</v>
      </c>
      <c r="M157" s="1655"/>
      <c r="N157" s="1631">
        <f>N158+N159</f>
        <v>0</v>
      </c>
      <c r="O157" s="3142">
        <f>IF(Q157&gt;0,N157,"na")</f>
        <v>0</v>
      </c>
      <c r="P157" s="1633">
        <f>P158+P159</f>
        <v>149896000</v>
      </c>
      <c r="Q157" s="1633">
        <f t="shared" ref="Q157:S157" si="52">Q158+Q159</f>
        <v>149896000</v>
      </c>
      <c r="R157" s="1633">
        <f t="shared" si="52"/>
        <v>0</v>
      </c>
      <c r="S157" s="1633">
        <f t="shared" si="52"/>
        <v>0</v>
      </c>
      <c r="T157" s="1657">
        <f t="shared" ref="T157:U159" si="53">IF(Q157=0,0,R157/Q157)</f>
        <v>0</v>
      </c>
      <c r="U157" s="1657">
        <f t="shared" si="53"/>
        <v>0</v>
      </c>
      <c r="V157" s="1658"/>
      <c r="W157" s="1661"/>
      <c r="X157" s="1669"/>
      <c r="Y157" s="3131" t="s">
        <v>2439</v>
      </c>
    </row>
    <row r="158" spans="1:25" ht="132">
      <c r="A158" s="3132"/>
      <c r="B158" s="3132"/>
      <c r="C158" s="3132"/>
      <c r="D158" s="3134"/>
      <c r="E158" s="1621" t="s">
        <v>2571</v>
      </c>
      <c r="F158" s="1619"/>
      <c r="G158" s="1636" t="s">
        <v>2568</v>
      </c>
      <c r="H158" s="1619"/>
      <c r="I158" s="1636" t="s">
        <v>2572</v>
      </c>
      <c r="J158" s="1636" t="s">
        <v>2573</v>
      </c>
      <c r="K158" s="1667">
        <v>5</v>
      </c>
      <c r="L158" s="1668">
        <v>0.7</v>
      </c>
      <c r="M158" s="1632">
        <v>0</v>
      </c>
      <c r="N158" s="1631">
        <v>0</v>
      </c>
      <c r="O158" s="3142"/>
      <c r="P158" s="1633">
        <v>107896000</v>
      </c>
      <c r="Q158" s="1633">
        <v>107896000</v>
      </c>
      <c r="R158" s="1633">
        <v>0</v>
      </c>
      <c r="S158" s="1633">
        <v>0</v>
      </c>
      <c r="T158" s="1657">
        <f>IF(Q158=0,0,R158/Q158)</f>
        <v>0</v>
      </c>
      <c r="U158" s="1657">
        <f t="shared" si="53"/>
        <v>0</v>
      </c>
      <c r="V158" s="1658"/>
      <c r="W158" s="1661"/>
      <c r="X158" s="1669"/>
      <c r="Y158" s="3131"/>
    </row>
    <row r="159" spans="1:25" ht="52.8">
      <c r="A159" s="3132"/>
      <c r="B159" s="3132"/>
      <c r="C159" s="3132"/>
      <c r="D159" s="3134"/>
      <c r="E159" s="1621" t="s">
        <v>2574</v>
      </c>
      <c r="F159" s="1619"/>
      <c r="G159" s="1636"/>
      <c r="H159" s="1619"/>
      <c r="I159" s="1636" t="s">
        <v>2575</v>
      </c>
      <c r="J159" s="1636" t="s">
        <v>120</v>
      </c>
      <c r="K159" s="1667">
        <v>100</v>
      </c>
      <c r="L159" s="1668">
        <v>0.3</v>
      </c>
      <c r="M159" s="1632">
        <v>0</v>
      </c>
      <c r="N159" s="1631">
        <v>0</v>
      </c>
      <c r="O159" s="3142"/>
      <c r="P159" s="1633">
        <v>42000000</v>
      </c>
      <c r="Q159" s="1633">
        <v>42000000</v>
      </c>
      <c r="R159" s="1633">
        <v>0</v>
      </c>
      <c r="S159" s="1633">
        <v>0</v>
      </c>
      <c r="T159" s="1657">
        <f t="shared" ref="T159" si="54">IF(Q159=0,0,R159/Q159)</f>
        <v>0</v>
      </c>
      <c r="U159" s="1657">
        <f t="shared" si="53"/>
        <v>0</v>
      </c>
      <c r="V159" s="1658"/>
      <c r="W159" s="1661"/>
      <c r="X159" s="1669"/>
      <c r="Y159" s="3131"/>
    </row>
    <row r="160" spans="1:25" ht="26.4">
      <c r="A160" s="1619"/>
      <c r="B160" s="1619">
        <v>52020080003</v>
      </c>
      <c r="C160" s="1619" t="s">
        <v>117</v>
      </c>
      <c r="D160" s="1636" t="s">
        <v>2576</v>
      </c>
      <c r="E160" s="1621"/>
      <c r="F160" s="1619"/>
      <c r="G160" s="1636"/>
      <c r="H160" s="1619"/>
      <c r="I160" s="1636"/>
      <c r="J160" s="1636"/>
      <c r="K160" s="1667"/>
      <c r="L160" s="1668"/>
      <c r="M160" s="1655"/>
      <c r="N160" s="1631"/>
      <c r="O160" s="1619"/>
      <c r="P160" s="1633"/>
      <c r="Q160" s="1633"/>
      <c r="R160" s="1633"/>
      <c r="S160" s="1633"/>
      <c r="T160" s="1657"/>
      <c r="U160" s="1657"/>
      <c r="V160" s="1658"/>
      <c r="W160" s="1661"/>
      <c r="X160" s="1669"/>
      <c r="Y160" s="1621"/>
    </row>
    <row r="161" spans="1:25">
      <c r="A161" s="3132">
        <v>4146</v>
      </c>
      <c r="B161" s="3132"/>
      <c r="C161" s="3132" t="s">
        <v>123</v>
      </c>
      <c r="D161" s="3134" t="s">
        <v>2577</v>
      </c>
      <c r="E161" s="1621" t="s">
        <v>2578</v>
      </c>
      <c r="F161" s="1619"/>
      <c r="G161" s="1636"/>
      <c r="H161" s="1619"/>
      <c r="I161" s="1636"/>
      <c r="J161" s="1636"/>
      <c r="K161" s="1667">
        <v>1</v>
      </c>
      <c r="L161" s="1668">
        <v>1</v>
      </c>
      <c r="M161" s="1655"/>
      <c r="N161" s="1631">
        <f>+N162+N163</f>
        <v>0</v>
      </c>
      <c r="O161" s="3142">
        <f>IF(Q161&gt;0,N161,"na")</f>
        <v>0</v>
      </c>
      <c r="P161" s="1633">
        <f>+P162+P163</f>
        <v>500000000</v>
      </c>
      <c r="Q161" s="1633">
        <f>+Q162+Q163</f>
        <v>500000000</v>
      </c>
      <c r="R161" s="1633">
        <f>+R162+R163</f>
        <v>0</v>
      </c>
      <c r="S161" s="1633">
        <f>+S162+S163</f>
        <v>0</v>
      </c>
      <c r="T161" s="1657">
        <f t="shared" ref="T161:U163" si="55">IF(Q161=0,0,R161/Q161)</f>
        <v>0</v>
      </c>
      <c r="U161" s="1657">
        <f t="shared" si="55"/>
        <v>0</v>
      </c>
      <c r="V161" s="1658"/>
      <c r="W161" s="1661"/>
      <c r="X161" s="1669"/>
      <c r="Y161" s="3131" t="s">
        <v>2439</v>
      </c>
    </row>
    <row r="162" spans="1:25" ht="145.19999999999999">
      <c r="A162" s="3132"/>
      <c r="B162" s="3132"/>
      <c r="C162" s="3132"/>
      <c r="D162" s="3134"/>
      <c r="E162" s="1621" t="s">
        <v>2579</v>
      </c>
      <c r="F162" s="1619"/>
      <c r="G162" s="1636" t="s">
        <v>2576</v>
      </c>
      <c r="H162" s="1619"/>
      <c r="I162" s="1636" t="s">
        <v>2580</v>
      </c>
      <c r="J162" s="1636" t="s">
        <v>120</v>
      </c>
      <c r="K162" s="1667">
        <v>40</v>
      </c>
      <c r="L162" s="1668">
        <v>0.8</v>
      </c>
      <c r="M162" s="1632">
        <v>0</v>
      </c>
      <c r="N162" s="1631">
        <v>0</v>
      </c>
      <c r="O162" s="3142"/>
      <c r="P162" s="1633">
        <v>159559996</v>
      </c>
      <c r="Q162" s="1633">
        <v>159559996</v>
      </c>
      <c r="R162" s="1633">
        <v>0</v>
      </c>
      <c r="S162" s="1633">
        <v>0</v>
      </c>
      <c r="T162" s="1657">
        <f t="shared" si="55"/>
        <v>0</v>
      </c>
      <c r="U162" s="1657">
        <f t="shared" si="55"/>
        <v>0</v>
      </c>
      <c r="V162" s="1658"/>
      <c r="W162" s="1661"/>
      <c r="X162" s="1669"/>
      <c r="Y162" s="3131"/>
    </row>
    <row r="163" spans="1:25" ht="66">
      <c r="A163" s="3132"/>
      <c r="B163" s="3132"/>
      <c r="C163" s="3132"/>
      <c r="D163" s="3134"/>
      <c r="E163" s="1621" t="s">
        <v>2581</v>
      </c>
      <c r="F163" s="1619"/>
      <c r="G163" s="1636"/>
      <c r="H163" s="1619"/>
      <c r="I163" s="1636" t="s">
        <v>2582</v>
      </c>
      <c r="J163" s="1636" t="s">
        <v>2583</v>
      </c>
      <c r="K163" s="1667">
        <v>1</v>
      </c>
      <c r="L163" s="1668">
        <v>0.2</v>
      </c>
      <c r="M163" s="1632">
        <v>0</v>
      </c>
      <c r="N163" s="1631">
        <v>0</v>
      </c>
      <c r="O163" s="3142"/>
      <c r="P163" s="1633">
        <v>340440004</v>
      </c>
      <c r="Q163" s="1633">
        <v>340440004</v>
      </c>
      <c r="R163" s="1633">
        <v>0</v>
      </c>
      <c r="S163" s="1633">
        <v>0</v>
      </c>
      <c r="T163" s="1657">
        <f t="shared" si="55"/>
        <v>0</v>
      </c>
      <c r="U163" s="1657">
        <f t="shared" si="55"/>
        <v>0</v>
      </c>
      <c r="V163" s="1658"/>
      <c r="W163" s="1661"/>
      <c r="X163" s="1669"/>
      <c r="Y163" s="3131"/>
    </row>
    <row r="164" spans="1:25">
      <c r="A164" s="1606"/>
      <c r="B164" s="1606">
        <v>5202010</v>
      </c>
      <c r="C164" s="1606" t="s">
        <v>116</v>
      </c>
      <c r="D164" s="1649" t="s">
        <v>2584</v>
      </c>
      <c r="E164" s="1608"/>
      <c r="F164" s="1606"/>
      <c r="G164" s="1649"/>
      <c r="H164" s="1606"/>
      <c r="I164" s="1649"/>
      <c r="J164" s="1607"/>
      <c r="K164" s="1683"/>
      <c r="L164" s="1645"/>
      <c r="M164" s="1650"/>
      <c r="N164" s="1645"/>
      <c r="O164" s="1651"/>
      <c r="P164" s="1644"/>
      <c r="Q164" s="1644"/>
      <c r="R164" s="1644"/>
      <c r="S164" s="1644"/>
      <c r="T164" s="1645"/>
      <c r="U164" s="1645"/>
      <c r="V164" s="1606"/>
      <c r="W164" s="1606"/>
      <c r="X164" s="1653"/>
      <c r="Y164" s="1614"/>
    </row>
    <row r="165" spans="1:25" ht="41.4">
      <c r="A165" s="1619"/>
      <c r="B165" s="1662">
        <v>52020100001</v>
      </c>
      <c r="C165" s="1619" t="s">
        <v>117</v>
      </c>
      <c r="D165" s="1654" t="s">
        <v>2585</v>
      </c>
      <c r="E165" s="1621"/>
      <c r="F165" s="1665"/>
      <c r="G165" s="1620"/>
      <c r="H165" s="1665"/>
      <c r="I165" s="1636"/>
      <c r="J165" s="1620"/>
      <c r="K165" s="1644"/>
      <c r="L165" s="1645"/>
      <c r="M165" s="1655"/>
      <c r="N165" s="1645"/>
      <c r="O165" s="1656"/>
      <c r="P165" s="1644"/>
      <c r="Q165" s="1644"/>
      <c r="R165" s="1644"/>
      <c r="S165" s="1644"/>
      <c r="T165" s="1657"/>
      <c r="U165" s="1657"/>
      <c r="V165" s="1619"/>
      <c r="W165" s="1619"/>
      <c r="X165" s="1637"/>
      <c r="Y165" s="1628"/>
    </row>
    <row r="166" spans="1:25">
      <c r="A166" s="3132">
        <v>4146</v>
      </c>
      <c r="B166" s="3132"/>
      <c r="C166" s="3132" t="s">
        <v>123</v>
      </c>
      <c r="D166" s="3134" t="s">
        <v>2586</v>
      </c>
      <c r="E166" s="1621" t="s">
        <v>2587</v>
      </c>
      <c r="F166" s="1619"/>
      <c r="G166" s="1620"/>
      <c r="H166" s="1619"/>
      <c r="I166" s="1636"/>
      <c r="J166" s="1620"/>
      <c r="K166" s="1633">
        <v>3820</v>
      </c>
      <c r="L166" s="1631">
        <v>1</v>
      </c>
      <c r="M166" s="1655"/>
      <c r="N166" s="1631">
        <f>+N167+N168</f>
        <v>0.14000000000000001</v>
      </c>
      <c r="O166" s="3137">
        <f>IF(Q166&gt;0,N166,"na")</f>
        <v>0.14000000000000001</v>
      </c>
      <c r="P166" s="1633">
        <f>+P167+P168</f>
        <v>3873710163</v>
      </c>
      <c r="Q166" s="1633">
        <f>+Q167+Q168</f>
        <v>3873710163</v>
      </c>
      <c r="R166" s="1633">
        <f>+R167+R168</f>
        <v>444890000</v>
      </c>
      <c r="S166" s="1633">
        <f>+S167+S168</f>
        <v>250538000</v>
      </c>
      <c r="T166" s="1657">
        <f t="shared" ref="T166:U168" si="56">IF(Q166=0,0,R166/Q166)</f>
        <v>0.11484855120277103</v>
      </c>
      <c r="U166" s="1657">
        <f t="shared" si="56"/>
        <v>0.56314594618894553</v>
      </c>
      <c r="V166" s="1658"/>
      <c r="W166" s="1658"/>
      <c r="X166" s="1637"/>
      <c r="Y166" s="3131" t="s">
        <v>2439</v>
      </c>
    </row>
    <row r="167" spans="1:25" ht="184.8">
      <c r="A167" s="3132"/>
      <c r="B167" s="3132"/>
      <c r="C167" s="3132"/>
      <c r="D167" s="3135"/>
      <c r="E167" s="1621" t="s">
        <v>2588</v>
      </c>
      <c r="F167" s="1619"/>
      <c r="G167" s="1636" t="s">
        <v>2585</v>
      </c>
      <c r="H167" s="1665"/>
      <c r="I167" s="1636" t="s">
        <v>2589</v>
      </c>
      <c r="J167" s="1636" t="s">
        <v>2516</v>
      </c>
      <c r="K167" s="1667">
        <v>3820</v>
      </c>
      <c r="L167" s="1668">
        <v>0.7</v>
      </c>
      <c r="M167" s="1632">
        <v>561</v>
      </c>
      <c r="N167" s="1631">
        <v>0.11</v>
      </c>
      <c r="O167" s="3132"/>
      <c r="P167" s="1633">
        <v>2605980000</v>
      </c>
      <c r="Q167" s="1633">
        <v>2605980000</v>
      </c>
      <c r="R167" s="1633">
        <v>89279000</v>
      </c>
      <c r="S167" s="1633">
        <v>60714000</v>
      </c>
      <c r="T167" s="1657">
        <f t="shared" si="56"/>
        <v>3.4259280577748102E-2</v>
      </c>
      <c r="U167" s="1657">
        <f t="shared" si="56"/>
        <v>0.68004793960505827</v>
      </c>
      <c r="V167" s="1658">
        <v>45307</v>
      </c>
      <c r="W167" s="1658">
        <v>45657</v>
      </c>
      <c r="X167" s="1669" t="s">
        <v>2590</v>
      </c>
      <c r="Y167" s="3138"/>
    </row>
    <row r="168" spans="1:25" ht="105.6">
      <c r="A168" s="3132"/>
      <c r="B168" s="3132"/>
      <c r="C168" s="3132"/>
      <c r="D168" s="3135"/>
      <c r="E168" s="1621" t="s">
        <v>2591</v>
      </c>
      <c r="F168" s="1619"/>
      <c r="G168" s="1636"/>
      <c r="H168" s="1619"/>
      <c r="I168" s="1636" t="s">
        <v>2592</v>
      </c>
      <c r="J168" s="1636" t="s">
        <v>2593</v>
      </c>
      <c r="K168" s="1667">
        <v>200</v>
      </c>
      <c r="L168" s="1668">
        <v>0.3</v>
      </c>
      <c r="M168" s="1632">
        <v>4</v>
      </c>
      <c r="N168" s="1631">
        <v>0.03</v>
      </c>
      <c r="O168" s="3132"/>
      <c r="P168" s="1633">
        <v>1267730163</v>
      </c>
      <c r="Q168" s="1633">
        <v>1267730163</v>
      </c>
      <c r="R168" s="1633">
        <v>355611000</v>
      </c>
      <c r="S168" s="1633">
        <v>189824000</v>
      </c>
      <c r="T168" s="1657">
        <f t="shared" si="56"/>
        <v>0.28051000944749155</v>
      </c>
      <c r="U168" s="1657">
        <f t="shared" si="56"/>
        <v>0.53379676106757101</v>
      </c>
      <c r="V168" s="1658">
        <v>45307</v>
      </c>
      <c r="W168" s="1658">
        <v>45657</v>
      </c>
      <c r="X168" s="1669" t="s">
        <v>2594</v>
      </c>
      <c r="Y168" s="3138"/>
    </row>
    <row r="169" spans="1:25">
      <c r="A169" s="1606"/>
      <c r="B169" s="1606">
        <v>5202011</v>
      </c>
      <c r="C169" s="1606" t="s">
        <v>116</v>
      </c>
      <c r="D169" s="1649" t="s">
        <v>2595</v>
      </c>
      <c r="E169" s="1608"/>
      <c r="F169" s="1606"/>
      <c r="G169" s="1607"/>
      <c r="H169" s="1606"/>
      <c r="I169" s="1649"/>
      <c r="J169" s="1607"/>
      <c r="K169" s="1683"/>
      <c r="L169" s="1645"/>
      <c r="M169" s="1650"/>
      <c r="N169" s="1645"/>
      <c r="O169" s="1651"/>
      <c r="P169" s="1644"/>
      <c r="Q169" s="1644"/>
      <c r="R169" s="1644"/>
      <c r="S169" s="1644"/>
      <c r="T169" s="1645"/>
      <c r="U169" s="1645"/>
      <c r="V169" s="1606"/>
      <c r="W169" s="1606"/>
      <c r="X169" s="1653"/>
      <c r="Y169" s="1614"/>
    </row>
    <row r="170" spans="1:25">
      <c r="A170" s="1619"/>
      <c r="B170" s="1662">
        <v>52020110001</v>
      </c>
      <c r="C170" s="1619" t="s">
        <v>117</v>
      </c>
      <c r="D170" s="1654" t="s">
        <v>2596</v>
      </c>
      <c r="E170" s="1621"/>
      <c r="F170" s="1665"/>
      <c r="G170" s="1620"/>
      <c r="H170" s="1619"/>
      <c r="I170" s="1636"/>
      <c r="J170" s="1620"/>
      <c r="K170" s="1644"/>
      <c r="L170" s="1645"/>
      <c r="M170" s="1655"/>
      <c r="N170" s="1645"/>
      <c r="O170" s="1656"/>
      <c r="P170" s="1644"/>
      <c r="Q170" s="1644"/>
      <c r="R170" s="1644"/>
      <c r="S170" s="1644"/>
      <c r="T170" s="1657"/>
      <c r="U170" s="1657"/>
      <c r="V170" s="1619"/>
      <c r="W170" s="1619"/>
      <c r="X170" s="1637"/>
      <c r="Y170" s="1628"/>
    </row>
    <row r="171" spans="1:25">
      <c r="A171" s="3132">
        <v>4146</v>
      </c>
      <c r="B171" s="3132"/>
      <c r="C171" s="3132" t="s">
        <v>123</v>
      </c>
      <c r="D171" s="3134" t="s">
        <v>2597</v>
      </c>
      <c r="E171" s="1621" t="s">
        <v>2598</v>
      </c>
      <c r="F171" s="1619"/>
      <c r="G171" s="1620"/>
      <c r="H171" s="1619"/>
      <c r="I171" s="1636"/>
      <c r="J171" s="1620"/>
      <c r="K171" s="1667">
        <v>2</v>
      </c>
      <c r="L171" s="1668">
        <v>1</v>
      </c>
      <c r="M171" s="1655"/>
      <c r="N171" s="1631">
        <f>+N172+N173</f>
        <v>0</v>
      </c>
      <c r="O171" s="3137">
        <f>IF(Q171&gt;0,N171,"na")</f>
        <v>0</v>
      </c>
      <c r="P171" s="1633">
        <f>+P172+P173</f>
        <v>300000000</v>
      </c>
      <c r="Q171" s="1633">
        <f>+Q172+Q173</f>
        <v>300000000</v>
      </c>
      <c r="R171" s="1633">
        <f>+R172+R173</f>
        <v>0</v>
      </c>
      <c r="S171" s="1633">
        <f>+S172+S173</f>
        <v>0</v>
      </c>
      <c r="T171" s="1657">
        <f t="shared" ref="T171:U173" si="57">IF(Q171=0,0,R171/Q171)</f>
        <v>0</v>
      </c>
      <c r="U171" s="1657">
        <f t="shared" si="57"/>
        <v>0</v>
      </c>
      <c r="V171" s="1658"/>
      <c r="W171" s="1658"/>
      <c r="X171" s="1637"/>
      <c r="Y171" s="3131" t="s">
        <v>2439</v>
      </c>
    </row>
    <row r="172" spans="1:25" ht="52.8">
      <c r="A172" s="3132"/>
      <c r="B172" s="3132"/>
      <c r="C172" s="3132"/>
      <c r="D172" s="3134"/>
      <c r="E172" s="1621" t="s">
        <v>2599</v>
      </c>
      <c r="F172" s="1619"/>
      <c r="G172" s="1636" t="s">
        <v>2596</v>
      </c>
      <c r="H172" s="1619"/>
      <c r="I172" s="1636" t="s">
        <v>2600</v>
      </c>
      <c r="J172" s="1620" t="s">
        <v>2601</v>
      </c>
      <c r="K172" s="1667">
        <v>2</v>
      </c>
      <c r="L172" s="1668">
        <v>0.5</v>
      </c>
      <c r="M172" s="1632">
        <v>0</v>
      </c>
      <c r="N172" s="1631">
        <v>0</v>
      </c>
      <c r="O172" s="3137"/>
      <c r="P172" s="1633">
        <v>173290800</v>
      </c>
      <c r="Q172" s="1633">
        <v>173290800</v>
      </c>
      <c r="R172" s="1633">
        <v>0</v>
      </c>
      <c r="S172" s="1633">
        <v>0</v>
      </c>
      <c r="T172" s="1657">
        <f t="shared" si="57"/>
        <v>0</v>
      </c>
      <c r="U172" s="1657">
        <f t="shared" si="57"/>
        <v>0</v>
      </c>
      <c r="V172" s="1658"/>
      <c r="W172" s="1658"/>
      <c r="X172" s="1669"/>
      <c r="Y172" s="3131"/>
    </row>
    <row r="173" spans="1:25" ht="52.8">
      <c r="A173" s="3132"/>
      <c r="B173" s="3132"/>
      <c r="C173" s="3132"/>
      <c r="D173" s="3135"/>
      <c r="E173" s="1621" t="s">
        <v>2602</v>
      </c>
      <c r="F173" s="1619"/>
      <c r="G173" s="1636"/>
      <c r="H173" s="1619"/>
      <c r="I173" s="1636" t="s">
        <v>2603</v>
      </c>
      <c r="J173" s="1636" t="s">
        <v>2573</v>
      </c>
      <c r="K173" s="1667">
        <v>2</v>
      </c>
      <c r="L173" s="1668">
        <v>0.5</v>
      </c>
      <c r="M173" s="1632">
        <v>0</v>
      </c>
      <c r="N173" s="1631">
        <v>0</v>
      </c>
      <c r="O173" s="3132"/>
      <c r="P173" s="1633">
        <v>126709200</v>
      </c>
      <c r="Q173" s="1633">
        <v>126709200</v>
      </c>
      <c r="R173" s="1633">
        <v>0</v>
      </c>
      <c r="S173" s="1633">
        <v>0</v>
      </c>
      <c r="T173" s="1657">
        <f t="shared" si="57"/>
        <v>0</v>
      </c>
      <c r="U173" s="1657">
        <f t="shared" si="57"/>
        <v>0</v>
      </c>
      <c r="V173" s="1658"/>
      <c r="W173" s="1658"/>
      <c r="X173" s="1741"/>
      <c r="Y173" s="3138"/>
    </row>
    <row r="174" spans="1:25" ht="27.6">
      <c r="A174" s="1619"/>
      <c r="B174" s="1662">
        <v>52020110002</v>
      </c>
      <c r="C174" s="1619" t="s">
        <v>117</v>
      </c>
      <c r="D174" s="1654" t="s">
        <v>2604</v>
      </c>
      <c r="E174" s="1621"/>
      <c r="F174" s="1665"/>
      <c r="G174" s="1620"/>
      <c r="H174" s="1665"/>
      <c r="I174" s="1636"/>
      <c r="J174" s="1620"/>
      <c r="K174" s="1644"/>
      <c r="L174" s="1645"/>
      <c r="M174" s="1655"/>
      <c r="N174" s="1645"/>
      <c r="O174" s="1656"/>
      <c r="P174" s="1644"/>
      <c r="Q174" s="1644"/>
      <c r="R174" s="1644"/>
      <c r="S174" s="1644"/>
      <c r="T174" s="1657"/>
      <c r="U174" s="1657"/>
      <c r="V174" s="1619"/>
      <c r="W174" s="1619"/>
      <c r="X174" s="1637"/>
      <c r="Y174" s="1628"/>
    </row>
    <row r="175" spans="1:25">
      <c r="A175" s="3132">
        <v>4146</v>
      </c>
      <c r="B175" s="3132"/>
      <c r="C175" s="3132" t="s">
        <v>123</v>
      </c>
      <c r="D175" s="3134" t="s">
        <v>2605</v>
      </c>
      <c r="E175" s="1621" t="s">
        <v>2606</v>
      </c>
      <c r="F175" s="1619"/>
      <c r="G175" s="1620"/>
      <c r="H175" s="1619"/>
      <c r="I175" s="1636"/>
      <c r="J175" s="1620"/>
      <c r="K175" s="1633">
        <v>1500</v>
      </c>
      <c r="L175" s="1631">
        <v>1</v>
      </c>
      <c r="M175" s="1655"/>
      <c r="N175" s="1631">
        <f>+N176+N177</f>
        <v>0.05</v>
      </c>
      <c r="O175" s="3137">
        <f>IF(Q175&gt;0,N175,"na")</f>
        <v>0.05</v>
      </c>
      <c r="P175" s="1633">
        <f>+P176+P177</f>
        <v>1309979513</v>
      </c>
      <c r="Q175" s="1633">
        <f>+Q176+Q177</f>
        <v>1309979513</v>
      </c>
      <c r="R175" s="1633">
        <f>+R176+R177</f>
        <v>82393000</v>
      </c>
      <c r="S175" s="1633">
        <f>+S176+S177</f>
        <v>17310000</v>
      </c>
      <c r="T175" s="1657">
        <f t="shared" ref="T175:U180" si="58">IF(Q175=0,0,R175/Q175)</f>
        <v>6.289640347986114E-2</v>
      </c>
      <c r="U175" s="1657">
        <f t="shared" si="58"/>
        <v>0.21009066304176327</v>
      </c>
      <c r="V175" s="1658"/>
      <c r="W175" s="1658"/>
      <c r="X175" s="1637"/>
      <c r="Y175" s="3131" t="s">
        <v>2268</v>
      </c>
    </row>
    <row r="176" spans="1:25" ht="132">
      <c r="A176" s="3132"/>
      <c r="B176" s="3132"/>
      <c r="C176" s="3132"/>
      <c r="D176" s="3135"/>
      <c r="E176" s="1621" t="s">
        <v>2607</v>
      </c>
      <c r="F176" s="1619"/>
      <c r="G176" s="1636" t="s">
        <v>2604</v>
      </c>
      <c r="H176" s="1665"/>
      <c r="I176" s="1636" t="s">
        <v>2608</v>
      </c>
      <c r="J176" s="1636" t="s">
        <v>2573</v>
      </c>
      <c r="K176" s="1667">
        <v>1500</v>
      </c>
      <c r="L176" s="1668">
        <v>0.4</v>
      </c>
      <c r="M176" s="1632">
        <v>60</v>
      </c>
      <c r="N176" s="1631">
        <v>0.05</v>
      </c>
      <c r="O176" s="3132"/>
      <c r="P176" s="1633">
        <v>916157813</v>
      </c>
      <c r="Q176" s="1633">
        <v>916157813</v>
      </c>
      <c r="R176" s="1633">
        <v>82393000</v>
      </c>
      <c r="S176" s="1633">
        <v>17310000</v>
      </c>
      <c r="T176" s="1657">
        <f t="shared" si="58"/>
        <v>8.9933195821580575E-2</v>
      </c>
      <c r="U176" s="1657">
        <f t="shared" si="58"/>
        <v>0.21009066304176327</v>
      </c>
      <c r="V176" s="1658">
        <v>45308</v>
      </c>
      <c r="W176" s="1658">
        <v>45657</v>
      </c>
      <c r="X176" s="1669" t="s">
        <v>2609</v>
      </c>
      <c r="Y176" s="3138"/>
    </row>
    <row r="177" spans="1:25" ht="92.4">
      <c r="A177" s="3132"/>
      <c r="B177" s="3132"/>
      <c r="C177" s="3132"/>
      <c r="D177" s="3135"/>
      <c r="E177" s="1621" t="s">
        <v>2610</v>
      </c>
      <c r="F177" s="1619"/>
      <c r="G177" s="1636"/>
      <c r="H177" s="1619"/>
      <c r="I177" s="1636" t="s">
        <v>2611</v>
      </c>
      <c r="J177" s="1636" t="s">
        <v>2612</v>
      </c>
      <c r="K177" s="1667">
        <v>8</v>
      </c>
      <c r="L177" s="1668">
        <v>0.6</v>
      </c>
      <c r="M177" s="1632">
        <v>0</v>
      </c>
      <c r="N177" s="1631">
        <v>0</v>
      </c>
      <c r="O177" s="3132"/>
      <c r="P177" s="1633">
        <v>393821700</v>
      </c>
      <c r="Q177" s="1633">
        <v>393821700</v>
      </c>
      <c r="R177" s="1633">
        <v>0</v>
      </c>
      <c r="S177" s="1633">
        <v>0</v>
      </c>
      <c r="T177" s="1657">
        <f t="shared" si="58"/>
        <v>0</v>
      </c>
      <c r="U177" s="1657">
        <f t="shared" si="58"/>
        <v>0</v>
      </c>
      <c r="V177" s="1658"/>
      <c r="W177" s="1658"/>
      <c r="X177" s="1637"/>
      <c r="Y177" s="3138"/>
    </row>
    <row r="178" spans="1:25">
      <c r="A178" s="3140">
        <v>4146</v>
      </c>
      <c r="B178" s="3140"/>
      <c r="C178" s="3140" t="s">
        <v>123</v>
      </c>
      <c r="D178" s="3141" t="s">
        <v>2613</v>
      </c>
      <c r="E178" s="1691" t="s">
        <v>2614</v>
      </c>
      <c r="F178" s="1691"/>
      <c r="G178" s="1692"/>
      <c r="H178" s="1691"/>
      <c r="I178" s="1692"/>
      <c r="J178" s="1692"/>
      <c r="K178" s="1693">
        <v>100</v>
      </c>
      <c r="L178" s="1694">
        <v>1</v>
      </c>
      <c r="M178" s="1632"/>
      <c r="N178" s="1631">
        <f>+N179+N180</f>
        <v>0</v>
      </c>
      <c r="O178" s="3137">
        <f>IF(Q178&gt;0,N178,"na")</f>
        <v>0</v>
      </c>
      <c r="P178" s="1633">
        <f>+P179+P180</f>
        <v>400000000</v>
      </c>
      <c r="Q178" s="1633">
        <f>+Q179+Q180</f>
        <v>400000000</v>
      </c>
      <c r="R178" s="1633">
        <f>+R179+R180</f>
        <v>0</v>
      </c>
      <c r="S178" s="1633">
        <f>+S179+S180</f>
        <v>0</v>
      </c>
      <c r="T178" s="1657">
        <f t="shared" si="58"/>
        <v>0</v>
      </c>
      <c r="U178" s="1657">
        <f t="shared" si="58"/>
        <v>0</v>
      </c>
      <c r="V178" s="1658"/>
      <c r="W178" s="1658"/>
      <c r="X178" s="1637"/>
      <c r="Y178" s="3131" t="s">
        <v>2268</v>
      </c>
    </row>
    <row r="179" spans="1:25" ht="132">
      <c r="A179" s="3140"/>
      <c r="B179" s="3140"/>
      <c r="C179" s="3140"/>
      <c r="D179" s="3141"/>
      <c r="E179" s="1691" t="s">
        <v>2615</v>
      </c>
      <c r="F179" s="1691"/>
      <c r="G179" s="1692" t="s">
        <v>2604</v>
      </c>
      <c r="H179" s="1691"/>
      <c r="I179" s="1692" t="s">
        <v>2616</v>
      </c>
      <c r="J179" s="1692" t="s">
        <v>2516</v>
      </c>
      <c r="K179" s="1693">
        <v>100</v>
      </c>
      <c r="L179" s="1694">
        <v>0.5</v>
      </c>
      <c r="M179" s="1632">
        <v>0</v>
      </c>
      <c r="N179" s="1631">
        <v>0</v>
      </c>
      <c r="O179" s="3132"/>
      <c r="P179" s="1633">
        <v>155072000</v>
      </c>
      <c r="Q179" s="1633">
        <v>155072000</v>
      </c>
      <c r="R179" s="1633">
        <v>0</v>
      </c>
      <c r="S179" s="1633">
        <v>0</v>
      </c>
      <c r="T179" s="1657">
        <f t="shared" si="58"/>
        <v>0</v>
      </c>
      <c r="U179" s="1657">
        <f t="shared" si="58"/>
        <v>0</v>
      </c>
      <c r="V179" s="1658"/>
      <c r="W179" s="1658"/>
      <c r="X179" s="1637"/>
      <c r="Y179" s="3131"/>
    </row>
    <row r="180" spans="1:25" ht="39.6">
      <c r="A180" s="3140"/>
      <c r="B180" s="3140"/>
      <c r="C180" s="3140"/>
      <c r="D180" s="3141"/>
      <c r="E180" s="1691" t="s">
        <v>2617</v>
      </c>
      <c r="F180" s="1691"/>
      <c r="G180" s="1692"/>
      <c r="H180" s="1691"/>
      <c r="I180" s="1692" t="s">
        <v>2618</v>
      </c>
      <c r="J180" s="1692" t="s">
        <v>2619</v>
      </c>
      <c r="K180" s="1693">
        <v>100</v>
      </c>
      <c r="L180" s="1694">
        <v>0.5</v>
      </c>
      <c r="M180" s="1632">
        <v>0</v>
      </c>
      <c r="N180" s="1631">
        <v>0</v>
      </c>
      <c r="O180" s="3132"/>
      <c r="P180" s="1633">
        <v>244928000</v>
      </c>
      <c r="Q180" s="1633">
        <v>244928000</v>
      </c>
      <c r="R180" s="1633">
        <v>0</v>
      </c>
      <c r="S180" s="1633">
        <v>0</v>
      </c>
      <c r="T180" s="1657">
        <f t="shared" si="58"/>
        <v>0</v>
      </c>
      <c r="U180" s="1657">
        <f t="shared" si="58"/>
        <v>0</v>
      </c>
      <c r="V180" s="1658"/>
      <c r="W180" s="1658"/>
      <c r="X180" s="1637"/>
      <c r="Y180" s="3131"/>
    </row>
    <row r="181" spans="1:25" ht="27.6">
      <c r="A181" s="1619"/>
      <c r="B181" s="1662">
        <v>52020110003</v>
      </c>
      <c r="C181" s="1619" t="s">
        <v>117</v>
      </c>
      <c r="D181" s="1654" t="s">
        <v>2620</v>
      </c>
      <c r="E181" s="1621"/>
      <c r="F181" s="1663"/>
      <c r="G181" s="1620"/>
      <c r="H181" s="1695"/>
      <c r="I181" s="1636"/>
      <c r="J181" s="1620"/>
      <c r="K181" s="1644"/>
      <c r="L181" s="1645"/>
      <c r="M181" s="1655"/>
      <c r="N181" s="1645"/>
      <c r="O181" s="1656"/>
      <c r="P181" s="1644"/>
      <c r="Q181" s="1644"/>
      <c r="R181" s="1644"/>
      <c r="S181" s="1644"/>
      <c r="T181" s="1657"/>
      <c r="U181" s="1657"/>
      <c r="V181" s="1619"/>
      <c r="W181" s="1619"/>
      <c r="X181" s="1637"/>
      <c r="Y181" s="1628"/>
    </row>
    <row r="182" spans="1:25">
      <c r="A182" s="3132">
        <v>4146</v>
      </c>
      <c r="B182" s="3132"/>
      <c r="C182" s="3132" t="s">
        <v>123</v>
      </c>
      <c r="D182" s="3134" t="s">
        <v>2621</v>
      </c>
      <c r="E182" s="1621" t="s">
        <v>2622</v>
      </c>
      <c r="F182" s="1619"/>
      <c r="G182" s="1620"/>
      <c r="H182" s="1619"/>
      <c r="I182" s="1636"/>
      <c r="J182" s="1620"/>
      <c r="K182" s="1633">
        <v>850</v>
      </c>
      <c r="L182" s="1631">
        <v>1</v>
      </c>
      <c r="M182" s="1655"/>
      <c r="N182" s="1631">
        <f>N183</f>
        <v>0.23</v>
      </c>
      <c r="O182" s="3137">
        <f>IF(Q182&gt;0,N182,"na")</f>
        <v>0.23</v>
      </c>
      <c r="P182" s="1633">
        <f>P183</f>
        <v>1172920515</v>
      </c>
      <c r="Q182" s="1633">
        <f t="shared" ref="Q182:S182" si="59">Q183</f>
        <v>1172920515</v>
      </c>
      <c r="R182" s="1633">
        <f t="shared" si="59"/>
        <v>343128500</v>
      </c>
      <c r="S182" s="1633">
        <f t="shared" si="59"/>
        <v>167942000</v>
      </c>
      <c r="T182" s="1657">
        <f>IF(Q182=0,0,R182/Q182)</f>
        <v>0.29254198866152492</v>
      </c>
      <c r="U182" s="1657">
        <f t="shared" ref="T182:U186" si="60">IF(R182=0,0,S182/R182)</f>
        <v>0.4894434592288312</v>
      </c>
      <c r="V182" s="1658"/>
      <c r="W182" s="1658"/>
      <c r="X182" s="1637"/>
      <c r="Y182" s="3131" t="s">
        <v>2268</v>
      </c>
    </row>
    <row r="183" spans="1:25" ht="132">
      <c r="A183" s="3132"/>
      <c r="B183" s="3132"/>
      <c r="C183" s="3132"/>
      <c r="D183" s="3135"/>
      <c r="E183" s="1621" t="s">
        <v>2623</v>
      </c>
      <c r="F183" s="1619"/>
      <c r="G183" s="1636" t="s">
        <v>2620</v>
      </c>
      <c r="H183" s="1695"/>
      <c r="I183" s="1629" t="s">
        <v>2624</v>
      </c>
      <c r="J183" s="1636" t="s">
        <v>2435</v>
      </c>
      <c r="K183" s="1633">
        <v>850</v>
      </c>
      <c r="L183" s="1631">
        <v>1</v>
      </c>
      <c r="M183" s="1632">
        <v>131</v>
      </c>
      <c r="N183" s="1631">
        <v>0.23</v>
      </c>
      <c r="O183" s="3132"/>
      <c r="P183" s="1633">
        <v>1172920515</v>
      </c>
      <c r="Q183" s="1633">
        <v>1172920515</v>
      </c>
      <c r="R183" s="1633">
        <v>343128500</v>
      </c>
      <c r="S183" s="1633">
        <v>167942000</v>
      </c>
      <c r="T183" s="1657">
        <f t="shared" si="60"/>
        <v>0.29254198866152492</v>
      </c>
      <c r="U183" s="1657">
        <f t="shared" si="60"/>
        <v>0.4894434592288312</v>
      </c>
      <c r="V183" s="1658">
        <v>45307</v>
      </c>
      <c r="W183" s="1658">
        <v>45657</v>
      </c>
      <c r="X183" s="1637" t="s">
        <v>2625</v>
      </c>
      <c r="Y183" s="3131"/>
    </row>
    <row r="184" spans="1:25">
      <c r="A184" s="3132">
        <v>4146</v>
      </c>
      <c r="B184" s="3132"/>
      <c r="C184" s="3132" t="s">
        <v>123</v>
      </c>
      <c r="D184" s="3134" t="s">
        <v>2626</v>
      </c>
      <c r="E184" s="1621" t="s">
        <v>2627</v>
      </c>
      <c r="F184" s="1619"/>
      <c r="G184" s="1620"/>
      <c r="H184" s="1619"/>
      <c r="I184" s="1636"/>
      <c r="J184" s="1620"/>
      <c r="K184" s="1633">
        <v>140</v>
      </c>
      <c r="L184" s="1631">
        <v>1</v>
      </c>
      <c r="M184" s="1655"/>
      <c r="N184" s="1631">
        <f>+N185+N186</f>
        <v>0.11</v>
      </c>
      <c r="O184" s="3137">
        <f>IF(Q184&gt;0,N184,"na")</f>
        <v>0.11</v>
      </c>
      <c r="P184" s="1633">
        <f>+P185+P186</f>
        <v>2098363150</v>
      </c>
      <c r="Q184" s="1633">
        <f>+Q185+Q186</f>
        <v>2098363150</v>
      </c>
      <c r="R184" s="1633">
        <f>+R185+R186</f>
        <v>224496924</v>
      </c>
      <c r="S184" s="1633">
        <f>+S185+S186</f>
        <v>90839000</v>
      </c>
      <c r="T184" s="1657">
        <f t="shared" si="60"/>
        <v>0.10698668817168278</v>
      </c>
      <c r="U184" s="1657">
        <f t="shared" si="60"/>
        <v>0.40463360647204233</v>
      </c>
      <c r="V184" s="1658"/>
      <c r="W184" s="1658"/>
      <c r="X184" s="1637"/>
      <c r="Y184" s="3131"/>
    </row>
    <row r="185" spans="1:25" ht="79.2">
      <c r="A185" s="3132"/>
      <c r="B185" s="3132"/>
      <c r="C185" s="3132"/>
      <c r="D185" s="3135"/>
      <c r="E185" s="1621" t="s">
        <v>2628</v>
      </c>
      <c r="F185" s="1619"/>
      <c r="G185" s="1636"/>
      <c r="H185" s="1619"/>
      <c r="I185" s="1629" t="s">
        <v>2629</v>
      </c>
      <c r="J185" s="1636" t="s">
        <v>2519</v>
      </c>
      <c r="K185" s="1633">
        <v>1</v>
      </c>
      <c r="L185" s="1631">
        <v>0.24</v>
      </c>
      <c r="M185" s="1632">
        <v>0</v>
      </c>
      <c r="N185" s="1631">
        <v>0</v>
      </c>
      <c r="O185" s="3132"/>
      <c r="P185" s="1633">
        <v>560364063</v>
      </c>
      <c r="Q185" s="1633">
        <v>440364063</v>
      </c>
      <c r="R185" s="1633">
        <v>0</v>
      </c>
      <c r="S185" s="1633">
        <v>0</v>
      </c>
      <c r="T185" s="1657">
        <f t="shared" si="60"/>
        <v>0</v>
      </c>
      <c r="U185" s="1657">
        <f t="shared" si="60"/>
        <v>0</v>
      </c>
      <c r="V185" s="1658"/>
      <c r="W185" s="1658"/>
      <c r="X185" s="1637"/>
      <c r="Y185" s="3131"/>
    </row>
    <row r="186" spans="1:25" ht="132">
      <c r="A186" s="3132"/>
      <c r="B186" s="3132"/>
      <c r="C186" s="3132"/>
      <c r="D186" s="3135"/>
      <c r="E186" s="1621" t="s">
        <v>2630</v>
      </c>
      <c r="F186" s="1619"/>
      <c r="G186" s="1636" t="s">
        <v>2620</v>
      </c>
      <c r="H186" s="1696"/>
      <c r="I186" s="1629" t="s">
        <v>2631</v>
      </c>
      <c r="J186" s="1636" t="s">
        <v>2516</v>
      </c>
      <c r="K186" s="1633">
        <v>140</v>
      </c>
      <c r="L186" s="1631">
        <v>0.76</v>
      </c>
      <c r="M186" s="1632">
        <v>8</v>
      </c>
      <c r="N186" s="1631">
        <v>0.11</v>
      </c>
      <c r="O186" s="3132"/>
      <c r="P186" s="1633">
        <v>1537999087</v>
      </c>
      <c r="Q186" s="1633">
        <v>1657999087</v>
      </c>
      <c r="R186" s="1633">
        <v>224496924</v>
      </c>
      <c r="S186" s="1633">
        <v>90839000</v>
      </c>
      <c r="T186" s="1657">
        <f>IF(Q186=0,0,R186/Q186)</f>
        <v>0.135402320640723</v>
      </c>
      <c r="U186" s="1657">
        <f t="shared" si="60"/>
        <v>0.40463360647204233</v>
      </c>
      <c r="V186" s="1658">
        <v>45307</v>
      </c>
      <c r="W186" s="1658">
        <v>45657</v>
      </c>
      <c r="X186" s="1669" t="s">
        <v>2632</v>
      </c>
      <c r="Y186" s="3131"/>
    </row>
    <row r="187" spans="1:25" ht="41.4">
      <c r="A187" s="1619"/>
      <c r="B187" s="1662">
        <v>52020110005</v>
      </c>
      <c r="C187" s="1619" t="s">
        <v>117</v>
      </c>
      <c r="D187" s="1654" t="s">
        <v>2633</v>
      </c>
      <c r="E187" s="1621"/>
      <c r="F187" s="1665"/>
      <c r="G187" s="1620"/>
      <c r="H187" s="1689"/>
      <c r="I187" s="1636"/>
      <c r="J187" s="1620"/>
      <c r="K187" s="1644"/>
      <c r="L187" s="1645"/>
      <c r="M187" s="1655"/>
      <c r="N187" s="1645"/>
      <c r="O187" s="1656"/>
      <c r="P187" s="1644"/>
      <c r="Q187" s="1644"/>
      <c r="R187" s="1644"/>
      <c r="S187" s="1644"/>
      <c r="T187" s="1657"/>
      <c r="U187" s="1657"/>
      <c r="V187" s="1619"/>
      <c r="W187" s="1619"/>
      <c r="X187" s="1637"/>
      <c r="Y187" s="1628"/>
    </row>
    <row r="188" spans="1:25">
      <c r="A188" s="3132">
        <v>4146</v>
      </c>
      <c r="B188" s="3132"/>
      <c r="C188" s="3132" t="s">
        <v>123</v>
      </c>
      <c r="D188" s="3134" t="s">
        <v>2634</v>
      </c>
      <c r="E188" s="1621" t="s">
        <v>2635</v>
      </c>
      <c r="F188" s="1619"/>
      <c r="G188" s="1620"/>
      <c r="H188" s="1619"/>
      <c r="I188" s="1636"/>
      <c r="J188" s="1620"/>
      <c r="K188" s="1633">
        <v>1</v>
      </c>
      <c r="L188" s="1631">
        <v>1</v>
      </c>
      <c r="M188" s="1655"/>
      <c r="N188" s="1631">
        <f>N189</f>
        <v>0</v>
      </c>
      <c r="O188" s="3137">
        <f>IF(Q188&gt;0,N188,"na")</f>
        <v>0</v>
      </c>
      <c r="P188" s="1633">
        <f>P189</f>
        <v>54028800</v>
      </c>
      <c r="Q188" s="1633">
        <f t="shared" ref="Q188:S188" si="61">Q189</f>
        <v>54028800</v>
      </c>
      <c r="R188" s="1633">
        <f t="shared" si="61"/>
        <v>0</v>
      </c>
      <c r="S188" s="1633">
        <f t="shared" si="61"/>
        <v>0</v>
      </c>
      <c r="T188" s="1657">
        <f t="shared" ref="T188:U189" si="62">IF(Q188=0,0,R188/Q188)</f>
        <v>0</v>
      </c>
      <c r="U188" s="1657">
        <f t="shared" si="62"/>
        <v>0</v>
      </c>
      <c r="V188" s="1658"/>
      <c r="W188" s="1658"/>
      <c r="X188" s="1637"/>
      <c r="Y188" s="3131" t="s">
        <v>2268</v>
      </c>
    </row>
    <row r="189" spans="1:25" ht="158.4">
      <c r="A189" s="3132"/>
      <c r="B189" s="3132"/>
      <c r="C189" s="3132"/>
      <c r="D189" s="3135"/>
      <c r="E189" s="1621" t="s">
        <v>2636</v>
      </c>
      <c r="F189" s="1619"/>
      <c r="G189" s="1636" t="s">
        <v>2637</v>
      </c>
      <c r="H189" s="1697"/>
      <c r="I189" s="1636" t="s">
        <v>2638</v>
      </c>
      <c r="J189" s="1636" t="s">
        <v>136</v>
      </c>
      <c r="K189" s="1633">
        <v>1</v>
      </c>
      <c r="L189" s="1631">
        <v>1</v>
      </c>
      <c r="M189" s="1632">
        <v>0</v>
      </c>
      <c r="N189" s="1631">
        <v>0</v>
      </c>
      <c r="O189" s="3132"/>
      <c r="P189" s="1633">
        <v>54028800</v>
      </c>
      <c r="Q189" s="1633">
        <v>54028800</v>
      </c>
      <c r="R189" s="1633">
        <v>0</v>
      </c>
      <c r="S189" s="1633">
        <v>0</v>
      </c>
      <c r="T189" s="1657">
        <f t="shared" si="62"/>
        <v>0</v>
      </c>
      <c r="U189" s="1657">
        <f t="shared" si="62"/>
        <v>0</v>
      </c>
      <c r="V189" s="1658"/>
      <c r="W189" s="1658"/>
      <c r="X189" s="1637"/>
      <c r="Y189" s="3138"/>
    </row>
    <row r="190" spans="1:25">
      <c r="A190" s="1619"/>
      <c r="B190" s="1662">
        <v>52020110006</v>
      </c>
      <c r="C190" s="1619" t="s">
        <v>117</v>
      </c>
      <c r="D190" s="1654" t="s">
        <v>2639</v>
      </c>
      <c r="E190" s="1621"/>
      <c r="F190" s="1698"/>
      <c r="G190" s="1620"/>
      <c r="H190" s="1699"/>
      <c r="I190" s="1636"/>
      <c r="J190" s="1620"/>
      <c r="K190" s="1644"/>
      <c r="L190" s="1645"/>
      <c r="M190" s="1655"/>
      <c r="N190" s="1645"/>
      <c r="O190" s="1656"/>
      <c r="P190" s="1644"/>
      <c r="Q190" s="1644"/>
      <c r="R190" s="1644"/>
      <c r="S190" s="1644"/>
      <c r="T190" s="1657"/>
      <c r="U190" s="1657"/>
      <c r="V190" s="1619"/>
      <c r="W190" s="1619"/>
      <c r="X190" s="1637"/>
      <c r="Y190" s="1628"/>
    </row>
    <row r="191" spans="1:25">
      <c r="A191" s="3132">
        <v>4146</v>
      </c>
      <c r="B191" s="3132"/>
      <c r="C191" s="3132" t="s">
        <v>123</v>
      </c>
      <c r="D191" s="3134" t="s">
        <v>2640</v>
      </c>
      <c r="E191" s="1621" t="s">
        <v>2641</v>
      </c>
      <c r="F191" s="1619"/>
      <c r="G191" s="1620"/>
      <c r="H191" s="1619"/>
      <c r="I191" s="1636"/>
      <c r="J191" s="1620"/>
      <c r="K191" s="1667">
        <v>1</v>
      </c>
      <c r="L191" s="1668">
        <v>1</v>
      </c>
      <c r="M191" s="1655"/>
      <c r="N191" s="1631">
        <f>+N192+N193</f>
        <v>0.1</v>
      </c>
      <c r="O191" s="3137">
        <f>IF(Q191&gt;0,N191,"na")</f>
        <v>0.1</v>
      </c>
      <c r="P191" s="1633">
        <f>+P192+P193</f>
        <v>739012400</v>
      </c>
      <c r="Q191" s="1633">
        <f>+Q192+Q193</f>
        <v>739012400</v>
      </c>
      <c r="R191" s="1633">
        <f>+R192+R193</f>
        <v>74936000</v>
      </c>
      <c r="S191" s="1633">
        <f>+S192+S193</f>
        <v>10462000</v>
      </c>
      <c r="T191" s="1657">
        <f t="shared" ref="T191:U193" si="63">IF(Q191=0,0,R191/Q191)</f>
        <v>0.10140019301435267</v>
      </c>
      <c r="U191" s="1657">
        <f t="shared" si="63"/>
        <v>0.13961246930714211</v>
      </c>
      <c r="V191" s="1658"/>
      <c r="W191" s="1658"/>
      <c r="X191" s="1637"/>
      <c r="Y191" s="3131" t="s">
        <v>2268</v>
      </c>
    </row>
    <row r="192" spans="1:25" ht="184.8">
      <c r="A192" s="3132"/>
      <c r="B192" s="3132"/>
      <c r="C192" s="3132"/>
      <c r="D192" s="3134"/>
      <c r="E192" s="1621" t="s">
        <v>2642</v>
      </c>
      <c r="F192" s="1619"/>
      <c r="G192" s="1636"/>
      <c r="H192" s="1619"/>
      <c r="I192" s="1636" t="s">
        <v>2643</v>
      </c>
      <c r="J192" s="1636" t="s">
        <v>120</v>
      </c>
      <c r="K192" s="1667">
        <v>700</v>
      </c>
      <c r="L192" s="1668">
        <v>0.6</v>
      </c>
      <c r="M192" s="1632">
        <v>20</v>
      </c>
      <c r="N192" s="1631">
        <v>0.08</v>
      </c>
      <c r="O192" s="3132"/>
      <c r="P192" s="1633">
        <v>483156800</v>
      </c>
      <c r="Q192" s="1633">
        <v>483156800</v>
      </c>
      <c r="R192" s="1633">
        <v>40664000</v>
      </c>
      <c r="S192" s="1633">
        <v>10462000</v>
      </c>
      <c r="T192" s="1657">
        <f t="shared" si="63"/>
        <v>8.4163153659433124E-2</v>
      </c>
      <c r="U192" s="1657">
        <f t="shared" si="63"/>
        <v>0.25727916584694077</v>
      </c>
      <c r="V192" s="1658">
        <v>45307</v>
      </c>
      <c r="W192" s="1658">
        <v>45657</v>
      </c>
      <c r="X192" s="1637" t="s">
        <v>2644</v>
      </c>
      <c r="Y192" s="3138"/>
    </row>
    <row r="193" spans="1:25" ht="105.6">
      <c r="A193" s="3132"/>
      <c r="B193" s="3132"/>
      <c r="C193" s="3132"/>
      <c r="D193" s="3134"/>
      <c r="E193" s="1621" t="s">
        <v>2645</v>
      </c>
      <c r="F193" s="1619"/>
      <c r="G193" s="1636" t="s">
        <v>2639</v>
      </c>
      <c r="H193" s="1700"/>
      <c r="I193" s="1636" t="s">
        <v>2646</v>
      </c>
      <c r="J193" s="1636" t="s">
        <v>2573</v>
      </c>
      <c r="K193" s="1667">
        <v>1</v>
      </c>
      <c r="L193" s="1668">
        <v>0.4</v>
      </c>
      <c r="M193" s="1632">
        <v>0</v>
      </c>
      <c r="N193" s="1631">
        <v>0.02</v>
      </c>
      <c r="O193" s="3132"/>
      <c r="P193" s="1633">
        <v>255855600</v>
      </c>
      <c r="Q193" s="1633">
        <v>255855600</v>
      </c>
      <c r="R193" s="1633">
        <v>34272000</v>
      </c>
      <c r="S193" s="1633">
        <v>0</v>
      </c>
      <c r="T193" s="1657">
        <f t="shared" si="63"/>
        <v>0.13395055648576776</v>
      </c>
      <c r="U193" s="1657">
        <f t="shared" si="63"/>
        <v>0</v>
      </c>
      <c r="V193" s="1658">
        <v>45336</v>
      </c>
      <c r="W193" s="1658">
        <v>45657</v>
      </c>
      <c r="X193" s="1637" t="s">
        <v>2647</v>
      </c>
      <c r="Y193" s="3138"/>
    </row>
    <row r="194" spans="1:25" ht="15.6">
      <c r="A194" s="1640"/>
      <c r="B194" s="1640">
        <v>5203</v>
      </c>
      <c r="C194" s="1640" t="s">
        <v>115</v>
      </c>
      <c r="D194" s="1643" t="s">
        <v>163</v>
      </c>
      <c r="E194" s="1639"/>
      <c r="F194" s="1640"/>
      <c r="G194" s="1643"/>
      <c r="H194" s="1640"/>
      <c r="I194" s="1643"/>
      <c r="J194" s="1643"/>
      <c r="K194" s="1644"/>
      <c r="L194" s="1645"/>
      <c r="M194" s="1644"/>
      <c r="N194" s="1645"/>
      <c r="O194" s="1646"/>
      <c r="P194" s="1644"/>
      <c r="Q194" s="1644"/>
      <c r="R194" s="1644"/>
      <c r="S194" s="1644"/>
      <c r="T194" s="1645"/>
      <c r="U194" s="1645"/>
      <c r="V194" s="1648"/>
      <c r="W194" s="1648"/>
      <c r="X194" s="1647"/>
      <c r="Y194" s="1639"/>
    </row>
    <row r="195" spans="1:25">
      <c r="A195" s="1606"/>
      <c r="B195" s="1606">
        <v>5203004</v>
      </c>
      <c r="C195" s="1606" t="s">
        <v>116</v>
      </c>
      <c r="D195" s="1649" t="s">
        <v>2648</v>
      </c>
      <c r="E195" s="1608"/>
      <c r="F195" s="1606"/>
      <c r="G195" s="1649"/>
      <c r="H195" s="1606"/>
      <c r="I195" s="1649"/>
      <c r="J195" s="1649"/>
      <c r="K195" s="1644"/>
      <c r="L195" s="1645"/>
      <c r="M195" s="1650"/>
      <c r="N195" s="1645"/>
      <c r="O195" s="1651"/>
      <c r="P195" s="1644"/>
      <c r="Q195" s="1644"/>
      <c r="R195" s="1644"/>
      <c r="S195" s="1644"/>
      <c r="T195" s="1645"/>
      <c r="U195" s="1645"/>
      <c r="V195" s="1652"/>
      <c r="W195" s="1652"/>
      <c r="X195" s="1653"/>
      <c r="Y195" s="1608"/>
    </row>
    <row r="196" spans="1:25" ht="27.6">
      <c r="A196" s="1701"/>
      <c r="B196" s="1662">
        <v>52030040002</v>
      </c>
      <c r="C196" s="1701" t="s">
        <v>117</v>
      </c>
      <c r="D196" s="1654" t="s">
        <v>2649</v>
      </c>
      <c r="E196" s="1702"/>
      <c r="F196" s="1665"/>
      <c r="G196" s="1654"/>
      <c r="H196" s="1665"/>
      <c r="I196" s="1654"/>
      <c r="J196" s="1654"/>
      <c r="K196" s="1703"/>
      <c r="L196" s="1704"/>
      <c r="M196" s="1705"/>
      <c r="N196" s="1704"/>
      <c r="O196" s="1706"/>
      <c r="P196" s="1703"/>
      <c r="Q196" s="1703"/>
      <c r="R196" s="1703"/>
      <c r="S196" s="1703"/>
      <c r="T196" s="1707"/>
      <c r="U196" s="1707"/>
      <c r="V196" s="1701"/>
      <c r="W196" s="1708"/>
      <c r="X196" s="1709"/>
      <c r="Y196" s="1710"/>
    </row>
    <row r="197" spans="1:25">
      <c r="A197" s="3132">
        <v>4146</v>
      </c>
      <c r="B197" s="3132"/>
      <c r="C197" s="3132" t="s">
        <v>123</v>
      </c>
      <c r="D197" s="3134" t="s">
        <v>2650</v>
      </c>
      <c r="E197" s="1621" t="s">
        <v>2651</v>
      </c>
      <c r="F197" s="1619"/>
      <c r="G197" s="1636"/>
      <c r="H197" s="1619"/>
      <c r="I197" s="1636"/>
      <c r="J197" s="1620"/>
      <c r="K197" s="1667">
        <v>45322</v>
      </c>
      <c r="L197" s="1668">
        <v>1</v>
      </c>
      <c r="M197" s="1655"/>
      <c r="N197" s="1631">
        <f>+N198+N199</f>
        <v>0.14000000000000001</v>
      </c>
      <c r="O197" s="3137">
        <f>IF(Q197&gt;0,N197,"na")</f>
        <v>0.14000000000000001</v>
      </c>
      <c r="P197" s="1633">
        <f>+P198+P199</f>
        <v>34007735657</v>
      </c>
      <c r="Q197" s="1633">
        <f t="shared" ref="Q197:S197" si="64">+Q198+Q199</f>
        <v>34007735657</v>
      </c>
      <c r="R197" s="1633">
        <f t="shared" si="64"/>
        <v>26947566849</v>
      </c>
      <c r="S197" s="1633">
        <f t="shared" si="64"/>
        <v>226569000</v>
      </c>
      <c r="T197" s="1657">
        <f>IF(Q197=0,0,R197/Q197)</f>
        <v>0.79239521033659976</v>
      </c>
      <c r="U197" s="1657">
        <f>IF(R197=0,0,S197/R197)</f>
        <v>8.4077720734333297E-3</v>
      </c>
      <c r="V197" s="1658"/>
      <c r="W197" s="1658"/>
      <c r="X197" s="1637"/>
      <c r="Y197" s="3131" t="s">
        <v>2439</v>
      </c>
    </row>
    <row r="198" spans="1:25" ht="145.19999999999999">
      <c r="A198" s="3132"/>
      <c r="B198" s="3132"/>
      <c r="C198" s="3132"/>
      <c r="D198" s="3134"/>
      <c r="E198" s="1621" t="s">
        <v>2652</v>
      </c>
      <c r="F198" s="1619"/>
      <c r="G198" s="1636" t="s">
        <v>2649</v>
      </c>
      <c r="H198" s="1665"/>
      <c r="I198" s="1636" t="s">
        <v>2653</v>
      </c>
      <c r="J198" s="1636" t="s">
        <v>2654</v>
      </c>
      <c r="K198" s="1667">
        <v>45322</v>
      </c>
      <c r="L198" s="1668">
        <v>0.75</v>
      </c>
      <c r="M198" s="1632">
        <v>16520</v>
      </c>
      <c r="N198" s="1631">
        <v>0.11</v>
      </c>
      <c r="O198" s="3132"/>
      <c r="P198" s="1633">
        <v>31938324469</v>
      </c>
      <c r="Q198" s="1633">
        <v>31810217269</v>
      </c>
      <c r="R198" s="1633">
        <v>25427323339</v>
      </c>
      <c r="S198" s="1633">
        <v>226569000</v>
      </c>
      <c r="T198" s="1657">
        <f t="shared" ref="T198:U199" si="65">IF(Q198=0,0,R198/Q198)</f>
        <v>0.79934453524716043</v>
      </c>
      <c r="U198" s="1657">
        <f t="shared" si="65"/>
        <v>8.9104541983973714E-3</v>
      </c>
      <c r="V198" s="1658">
        <v>45307</v>
      </c>
      <c r="W198" s="1658">
        <v>45657</v>
      </c>
      <c r="X198" s="1711" t="s">
        <v>2655</v>
      </c>
      <c r="Y198" s="3131"/>
    </row>
    <row r="199" spans="1:25" ht="66">
      <c r="A199" s="3132"/>
      <c r="B199" s="3132"/>
      <c r="C199" s="3132"/>
      <c r="D199" s="3134"/>
      <c r="E199" s="1621" t="s">
        <v>2656</v>
      </c>
      <c r="F199" s="1619"/>
      <c r="G199" s="1636"/>
      <c r="H199" s="1619"/>
      <c r="I199" s="1636" t="s">
        <v>2657</v>
      </c>
      <c r="J199" s="1636" t="s">
        <v>2516</v>
      </c>
      <c r="K199" s="1667">
        <v>17663</v>
      </c>
      <c r="L199" s="1668">
        <v>0.25</v>
      </c>
      <c r="M199" s="1632">
        <v>0</v>
      </c>
      <c r="N199" s="1631">
        <v>0.03</v>
      </c>
      <c r="O199" s="3132"/>
      <c r="P199" s="1633">
        <v>2069411188</v>
      </c>
      <c r="Q199" s="1633">
        <v>2197518388</v>
      </c>
      <c r="R199" s="1633">
        <v>1520243510</v>
      </c>
      <c r="S199" s="1633">
        <v>0</v>
      </c>
      <c r="T199" s="1657">
        <f t="shared" si="65"/>
        <v>0.69180013159462128</v>
      </c>
      <c r="U199" s="1657">
        <f t="shared" si="65"/>
        <v>0</v>
      </c>
      <c r="V199" s="1658">
        <v>45365</v>
      </c>
      <c r="W199" s="1658">
        <v>45657</v>
      </c>
      <c r="X199" s="1711" t="s">
        <v>2658</v>
      </c>
      <c r="Y199" s="3131"/>
    </row>
    <row r="200" spans="1:25">
      <c r="A200" s="1619"/>
      <c r="B200" s="1619">
        <v>52030040003</v>
      </c>
      <c r="C200" s="1701" t="s">
        <v>117</v>
      </c>
      <c r="D200" s="1654" t="s">
        <v>2659</v>
      </c>
      <c r="E200" s="1621"/>
      <c r="F200" s="1665"/>
      <c r="G200" s="1636"/>
      <c r="H200" s="1665"/>
      <c r="I200" s="1636"/>
      <c r="J200" s="1636"/>
      <c r="K200" s="1667"/>
      <c r="L200" s="1668"/>
      <c r="M200" s="1655"/>
      <c r="N200" s="1631"/>
      <c r="O200" s="1656"/>
      <c r="P200" s="1633"/>
      <c r="Q200" s="1633"/>
      <c r="R200" s="1633"/>
      <c r="S200" s="1633"/>
      <c r="T200" s="1657"/>
      <c r="U200" s="1657"/>
      <c r="V200" s="1658"/>
      <c r="W200" s="1658"/>
      <c r="X200" s="1711"/>
      <c r="Y200" s="1621"/>
    </row>
    <row r="201" spans="1:25">
      <c r="A201" s="3131">
        <v>4146</v>
      </c>
      <c r="B201" s="3131"/>
      <c r="C201" s="3131" t="s">
        <v>123</v>
      </c>
      <c r="D201" s="3134" t="s">
        <v>2660</v>
      </c>
      <c r="E201" s="1621" t="s">
        <v>2661</v>
      </c>
      <c r="F201" s="1619"/>
      <c r="G201" s="1636"/>
      <c r="H201" s="1619"/>
      <c r="I201" s="1636"/>
      <c r="J201" s="1636"/>
      <c r="K201" s="1667">
        <v>275</v>
      </c>
      <c r="L201" s="1668">
        <v>1</v>
      </c>
      <c r="M201" s="1655"/>
      <c r="N201" s="1631">
        <f>+N202+N203</f>
        <v>0.03</v>
      </c>
      <c r="O201" s="3137">
        <f>IF(Q201&gt;0,N201,"na")</f>
        <v>0.03</v>
      </c>
      <c r="P201" s="1633">
        <f>+P202+P203</f>
        <v>700000000</v>
      </c>
      <c r="Q201" s="1633">
        <f t="shared" ref="Q201:S201" si="66">+Q202+Q203</f>
        <v>700000000</v>
      </c>
      <c r="R201" s="1633">
        <f t="shared" si="66"/>
        <v>15693000</v>
      </c>
      <c r="S201" s="1633">
        <f t="shared" si="66"/>
        <v>0</v>
      </c>
      <c r="T201" s="1657">
        <f>IF(Q201=0,0,R201/Q201)</f>
        <v>2.241857142857143E-2</v>
      </c>
      <c r="U201" s="1657">
        <f>IF(R201=0,0,S201/R201)</f>
        <v>0</v>
      </c>
      <c r="V201" s="1658"/>
      <c r="W201" s="1658"/>
      <c r="X201" s="1711"/>
      <c r="Y201" s="3131" t="s">
        <v>2439</v>
      </c>
    </row>
    <row r="202" spans="1:25" ht="79.2">
      <c r="A202" s="3131"/>
      <c r="B202" s="3131"/>
      <c r="C202" s="3131"/>
      <c r="D202" s="3134"/>
      <c r="E202" s="1621" t="s">
        <v>2662</v>
      </c>
      <c r="F202" s="1619"/>
      <c r="G202" s="1636" t="s">
        <v>2659</v>
      </c>
      <c r="H202" s="1665"/>
      <c r="I202" s="1636" t="s">
        <v>2663</v>
      </c>
      <c r="J202" s="1636" t="s">
        <v>2654</v>
      </c>
      <c r="K202" s="1667">
        <v>275</v>
      </c>
      <c r="L202" s="1668">
        <v>0.7</v>
      </c>
      <c r="M202" s="1632">
        <v>0</v>
      </c>
      <c r="N202" s="1631">
        <v>0</v>
      </c>
      <c r="O202" s="3137"/>
      <c r="P202" s="1633">
        <v>508453300</v>
      </c>
      <c r="Q202" s="1633">
        <v>508453300</v>
      </c>
      <c r="R202" s="1633">
        <v>0</v>
      </c>
      <c r="S202" s="1633">
        <v>0</v>
      </c>
      <c r="T202" s="1657">
        <f t="shared" ref="T202:U203" si="67">IF(Q202=0,0,R202/Q202)</f>
        <v>0</v>
      </c>
      <c r="U202" s="1657">
        <f t="shared" si="67"/>
        <v>0</v>
      </c>
      <c r="V202" s="1658"/>
      <c r="W202" s="1658"/>
      <c r="X202" s="1711"/>
      <c r="Y202" s="3131"/>
    </row>
    <row r="203" spans="1:25" ht="66">
      <c r="A203" s="3131"/>
      <c r="B203" s="3131"/>
      <c r="C203" s="3131"/>
      <c r="D203" s="3134"/>
      <c r="E203" s="1621" t="s">
        <v>2664</v>
      </c>
      <c r="F203" s="1619"/>
      <c r="G203" s="1636"/>
      <c r="H203" s="1619"/>
      <c r="I203" s="1636" t="s">
        <v>2665</v>
      </c>
      <c r="J203" s="1636" t="s">
        <v>132</v>
      </c>
      <c r="K203" s="1667">
        <v>1</v>
      </c>
      <c r="L203" s="1668">
        <v>0.3</v>
      </c>
      <c r="M203" s="1632">
        <v>0</v>
      </c>
      <c r="N203" s="1631">
        <v>0.03</v>
      </c>
      <c r="O203" s="3137"/>
      <c r="P203" s="1633">
        <v>191546700</v>
      </c>
      <c r="Q203" s="1633">
        <v>191546700</v>
      </c>
      <c r="R203" s="1633">
        <v>15693000</v>
      </c>
      <c r="S203" s="1633">
        <v>0</v>
      </c>
      <c r="T203" s="1657">
        <f t="shared" si="67"/>
        <v>8.1927801418661877E-2</v>
      </c>
      <c r="U203" s="1657">
        <f t="shared" si="67"/>
        <v>0</v>
      </c>
      <c r="V203" s="1658">
        <v>45365</v>
      </c>
      <c r="W203" s="1658">
        <v>45657</v>
      </c>
      <c r="X203" s="1711" t="s">
        <v>2666</v>
      </c>
      <c r="Y203" s="3131"/>
    </row>
    <row r="204" spans="1:25" ht="15.6">
      <c r="A204" s="1640"/>
      <c r="B204" s="1640">
        <v>54</v>
      </c>
      <c r="C204" s="1640" t="s">
        <v>114</v>
      </c>
      <c r="D204" s="1641" t="s">
        <v>201</v>
      </c>
      <c r="E204" s="1639"/>
      <c r="F204" s="1640"/>
      <c r="G204" s="1643"/>
      <c r="H204" s="1640"/>
      <c r="I204" s="1643"/>
      <c r="J204" s="1643"/>
      <c r="K204" s="1712"/>
      <c r="L204" s="1645"/>
      <c r="M204" s="1644"/>
      <c r="N204" s="1645"/>
      <c r="O204" s="1646"/>
      <c r="P204" s="1644"/>
      <c r="Q204" s="1644"/>
      <c r="R204" s="1644"/>
      <c r="S204" s="1644"/>
      <c r="T204" s="1645"/>
      <c r="U204" s="1645"/>
      <c r="V204" s="1648"/>
      <c r="W204" s="1648"/>
      <c r="X204" s="1647"/>
      <c r="Y204" s="1639"/>
    </row>
    <row r="205" spans="1:25" ht="15.6">
      <c r="A205" s="1640"/>
      <c r="B205" s="1640">
        <v>5402</v>
      </c>
      <c r="C205" s="1640" t="s">
        <v>115</v>
      </c>
      <c r="D205" s="1643" t="s">
        <v>118</v>
      </c>
      <c r="E205" s="1639"/>
      <c r="F205" s="1640"/>
      <c r="G205" s="1643"/>
      <c r="H205" s="1640"/>
      <c r="I205" s="1643"/>
      <c r="J205" s="1642"/>
      <c r="K205" s="1712"/>
      <c r="L205" s="1645"/>
      <c r="M205" s="1644"/>
      <c r="N205" s="1645"/>
      <c r="O205" s="1646"/>
      <c r="P205" s="1644"/>
      <c r="Q205" s="1644"/>
      <c r="R205" s="1644"/>
      <c r="S205" s="1644"/>
      <c r="T205" s="1645"/>
      <c r="U205" s="1645"/>
      <c r="V205" s="1648"/>
      <c r="W205" s="1648"/>
      <c r="X205" s="1647"/>
      <c r="Y205" s="1639"/>
    </row>
    <row r="206" spans="1:25">
      <c r="A206" s="1606"/>
      <c r="B206" s="1606">
        <v>5402001</v>
      </c>
      <c r="C206" s="1606" t="s">
        <v>116</v>
      </c>
      <c r="D206" s="1649" t="s">
        <v>119</v>
      </c>
      <c r="E206" s="1608"/>
      <c r="F206" s="1606"/>
      <c r="G206" s="1649"/>
      <c r="H206" s="1606"/>
      <c r="I206" s="1649"/>
      <c r="J206" s="1607"/>
      <c r="K206" s="1683"/>
      <c r="L206" s="1645"/>
      <c r="M206" s="1650"/>
      <c r="N206" s="1645"/>
      <c r="O206" s="1651"/>
      <c r="P206" s="1644"/>
      <c r="Q206" s="1644"/>
      <c r="R206" s="1644"/>
      <c r="S206" s="1644"/>
      <c r="T206" s="1645"/>
      <c r="U206" s="1645"/>
      <c r="V206" s="1652"/>
      <c r="W206" s="1652"/>
      <c r="X206" s="1653"/>
      <c r="Y206" s="1608"/>
    </row>
    <row r="207" spans="1:25" ht="27.6">
      <c r="A207" s="1619"/>
      <c r="B207" s="1662">
        <v>54020010014</v>
      </c>
      <c r="C207" s="1662" t="s">
        <v>117</v>
      </c>
      <c r="D207" s="1654" t="s">
        <v>2667</v>
      </c>
      <c r="E207" s="1621"/>
      <c r="F207" s="1619"/>
      <c r="G207" s="1636"/>
      <c r="H207" s="1619"/>
      <c r="I207" s="1713"/>
      <c r="J207" s="1620"/>
      <c r="K207" s="1644"/>
      <c r="L207" s="1645"/>
      <c r="M207" s="1655"/>
      <c r="N207" s="1645"/>
      <c r="O207" s="1656"/>
      <c r="P207" s="1644"/>
      <c r="Q207" s="1644"/>
      <c r="R207" s="1644"/>
      <c r="S207" s="1644"/>
      <c r="T207" s="1657"/>
      <c r="U207" s="1657"/>
      <c r="V207" s="1658"/>
      <c r="W207" s="1658"/>
      <c r="X207" s="1637"/>
      <c r="Y207" s="1659"/>
    </row>
    <row r="208" spans="1:25">
      <c r="A208" s="3132">
        <v>4146</v>
      </c>
      <c r="B208" s="3132"/>
      <c r="C208" s="3132" t="s">
        <v>123</v>
      </c>
      <c r="D208" s="3134" t="s">
        <v>2668</v>
      </c>
      <c r="E208" s="1621" t="s">
        <v>2669</v>
      </c>
      <c r="F208" s="1619"/>
      <c r="G208" s="1636"/>
      <c r="H208" s="1619"/>
      <c r="I208" s="1636"/>
      <c r="J208" s="1620"/>
      <c r="K208" s="1667">
        <v>150</v>
      </c>
      <c r="L208" s="1668">
        <v>1</v>
      </c>
      <c r="M208" s="1655"/>
      <c r="N208" s="1631">
        <f>+N209+N210</f>
        <v>0.21</v>
      </c>
      <c r="O208" s="3137">
        <f>IF(Q208&gt;0,N208,"na")</f>
        <v>0.21</v>
      </c>
      <c r="P208" s="1633">
        <f>+P209+P210</f>
        <v>612639523</v>
      </c>
      <c r="Q208" s="1633">
        <f>+Q209+Q210</f>
        <v>612639523</v>
      </c>
      <c r="R208" s="1633">
        <f>+R209+R210</f>
        <v>135552000</v>
      </c>
      <c r="S208" s="1633">
        <f>+S209+S210</f>
        <v>73838000</v>
      </c>
      <c r="T208" s="1657">
        <f t="shared" ref="T208:U210" si="68">IF(Q208=0,0,R208/Q208)</f>
        <v>0.22125898658353454</v>
      </c>
      <c r="U208" s="1657">
        <f t="shared" si="68"/>
        <v>0.54472084513692165</v>
      </c>
      <c r="V208" s="1658"/>
      <c r="W208" s="1658"/>
      <c r="X208" s="1637"/>
      <c r="Y208" s="3131" t="s">
        <v>2670</v>
      </c>
    </row>
    <row r="209" spans="1:25" ht="105.6">
      <c r="A209" s="3132"/>
      <c r="B209" s="3132"/>
      <c r="C209" s="3132"/>
      <c r="D209" s="3135"/>
      <c r="E209" s="1621" t="s">
        <v>2671</v>
      </c>
      <c r="F209" s="1619"/>
      <c r="G209" s="1636"/>
      <c r="H209" s="1619"/>
      <c r="I209" s="1636" t="s">
        <v>2672</v>
      </c>
      <c r="J209" s="1636" t="s">
        <v>135</v>
      </c>
      <c r="K209" s="1667">
        <v>6</v>
      </c>
      <c r="L209" s="1668">
        <v>0.5</v>
      </c>
      <c r="M209" s="1632">
        <v>2</v>
      </c>
      <c r="N209" s="1631">
        <v>0.19</v>
      </c>
      <c r="O209" s="3132"/>
      <c r="P209" s="1633">
        <v>285616800</v>
      </c>
      <c r="Q209" s="1633">
        <v>285616800</v>
      </c>
      <c r="R209" s="1633">
        <v>63079000</v>
      </c>
      <c r="S209" s="1633">
        <v>30420000</v>
      </c>
      <c r="T209" s="1657">
        <f t="shared" si="68"/>
        <v>0.22085185465280754</v>
      </c>
      <c r="U209" s="1657">
        <f t="shared" si="68"/>
        <v>0.48225241364003868</v>
      </c>
      <c r="V209" s="1658">
        <v>45307</v>
      </c>
      <c r="W209" s="1658">
        <v>45657</v>
      </c>
      <c r="X209" s="1637" t="s">
        <v>2673</v>
      </c>
      <c r="Y209" s="3138"/>
    </row>
    <row r="210" spans="1:25" ht="105.6">
      <c r="A210" s="3132"/>
      <c r="B210" s="3132"/>
      <c r="C210" s="3132"/>
      <c r="D210" s="3135"/>
      <c r="E210" s="1621" t="s">
        <v>2674</v>
      </c>
      <c r="F210" s="1619"/>
      <c r="G210" s="1636" t="s">
        <v>2667</v>
      </c>
      <c r="H210" s="1619"/>
      <c r="I210" s="1636" t="s">
        <v>2675</v>
      </c>
      <c r="J210" s="1636" t="s">
        <v>267</v>
      </c>
      <c r="K210" s="1667">
        <v>150</v>
      </c>
      <c r="L210" s="1668">
        <v>0.5</v>
      </c>
      <c r="M210" s="1632">
        <v>3</v>
      </c>
      <c r="N210" s="1631">
        <v>0.02</v>
      </c>
      <c r="O210" s="3132"/>
      <c r="P210" s="1633">
        <v>327022723</v>
      </c>
      <c r="Q210" s="1633">
        <v>327022723</v>
      </c>
      <c r="R210" s="1633">
        <v>72473000</v>
      </c>
      <c r="S210" s="1633">
        <v>43418000</v>
      </c>
      <c r="T210" s="1657">
        <f t="shared" si="68"/>
        <v>0.22161456957839593</v>
      </c>
      <c r="U210" s="1657">
        <f t="shared" si="68"/>
        <v>0.59909207566955969</v>
      </c>
      <c r="V210" s="1658">
        <v>45307</v>
      </c>
      <c r="W210" s="1658">
        <v>45657</v>
      </c>
      <c r="X210" s="1637" t="s">
        <v>2676</v>
      </c>
      <c r="Y210" s="3138"/>
    </row>
    <row r="211" spans="1:25" ht="27.6">
      <c r="A211" s="1619"/>
      <c r="B211" s="1662">
        <v>54020010045</v>
      </c>
      <c r="C211" s="1662" t="s">
        <v>117</v>
      </c>
      <c r="D211" s="1654" t="s">
        <v>2677</v>
      </c>
      <c r="E211" s="1621"/>
      <c r="F211" s="1619"/>
      <c r="G211" s="1636"/>
      <c r="H211" s="1619"/>
      <c r="I211" s="1636"/>
      <c r="J211" s="1636"/>
      <c r="K211" s="1644"/>
      <c r="L211" s="1645"/>
      <c r="M211" s="1655"/>
      <c r="N211" s="1645"/>
      <c r="O211" s="1656"/>
      <c r="P211" s="1644"/>
      <c r="Q211" s="1644"/>
      <c r="R211" s="1644"/>
      <c r="S211" s="1644"/>
      <c r="T211" s="1657"/>
      <c r="U211" s="1657"/>
      <c r="V211" s="1658"/>
      <c r="W211" s="1658"/>
      <c r="X211" s="1637"/>
      <c r="Y211" s="1659"/>
    </row>
    <row r="212" spans="1:25">
      <c r="A212" s="3132">
        <v>4146</v>
      </c>
      <c r="B212" s="3132"/>
      <c r="C212" s="3132" t="s">
        <v>123</v>
      </c>
      <c r="D212" s="3134" t="s">
        <v>2678</v>
      </c>
      <c r="E212" s="1621" t="s">
        <v>2679</v>
      </c>
      <c r="F212" s="1619"/>
      <c r="G212" s="1636"/>
      <c r="H212" s="1619"/>
      <c r="I212" s="1636"/>
      <c r="J212" s="1620"/>
      <c r="K212" s="1633">
        <v>1</v>
      </c>
      <c r="L212" s="1631">
        <v>1</v>
      </c>
      <c r="M212" s="1655"/>
      <c r="N212" s="1631">
        <f>+N213</f>
        <v>0.21</v>
      </c>
      <c r="O212" s="3137">
        <f>IF(Q212&gt;0,N212,"na")</f>
        <v>0.21</v>
      </c>
      <c r="P212" s="1633">
        <f>+P213</f>
        <v>1100000000</v>
      </c>
      <c r="Q212" s="1633">
        <f t="shared" ref="Q212:S212" si="69">+Q213</f>
        <v>1100000000</v>
      </c>
      <c r="R212" s="1633">
        <f t="shared" si="69"/>
        <v>640903500</v>
      </c>
      <c r="S212" s="1633">
        <f t="shared" si="69"/>
        <v>266823500</v>
      </c>
      <c r="T212" s="1657">
        <f t="shared" ref="T212:U213" si="70">IF(Q212=0,0,R212/Q212)</f>
        <v>0.58263954545454544</v>
      </c>
      <c r="U212" s="1657">
        <f t="shared" si="70"/>
        <v>0.4163239863723634</v>
      </c>
      <c r="V212" s="1658"/>
      <c r="W212" s="1658"/>
      <c r="X212" s="1637"/>
      <c r="Y212" s="3131" t="s">
        <v>2680</v>
      </c>
    </row>
    <row r="213" spans="1:25" ht="79.2">
      <c r="A213" s="3132"/>
      <c r="B213" s="3132"/>
      <c r="C213" s="3132"/>
      <c r="D213" s="3135"/>
      <c r="E213" s="1621" t="s">
        <v>2681</v>
      </c>
      <c r="F213" s="1619"/>
      <c r="G213" s="1636" t="s">
        <v>2677</v>
      </c>
      <c r="H213" s="1689"/>
      <c r="I213" s="1636" t="s">
        <v>2682</v>
      </c>
      <c r="J213" s="1636" t="s">
        <v>139</v>
      </c>
      <c r="K213" s="1633">
        <v>1</v>
      </c>
      <c r="L213" s="1631">
        <v>1</v>
      </c>
      <c r="M213" s="1632">
        <v>0</v>
      </c>
      <c r="N213" s="1631">
        <v>0.21</v>
      </c>
      <c r="O213" s="3132"/>
      <c r="P213" s="1633">
        <v>1100000000</v>
      </c>
      <c r="Q213" s="1633">
        <v>1100000000</v>
      </c>
      <c r="R213" s="1633">
        <v>640903500</v>
      </c>
      <c r="S213" s="1633">
        <v>266823500</v>
      </c>
      <c r="T213" s="1657">
        <f t="shared" si="70"/>
        <v>0.58263954545454544</v>
      </c>
      <c r="U213" s="1657">
        <f t="shared" si="70"/>
        <v>0.4163239863723634</v>
      </c>
      <c r="V213" s="1658">
        <v>45307</v>
      </c>
      <c r="W213" s="1658">
        <v>45657</v>
      </c>
      <c r="X213" s="1669" t="s">
        <v>2683</v>
      </c>
      <c r="Y213" s="3138"/>
    </row>
    <row r="214" spans="1:25" ht="27.6">
      <c r="A214" s="1606"/>
      <c r="B214" s="1606">
        <v>5402002</v>
      </c>
      <c r="C214" s="1606" t="s">
        <v>116</v>
      </c>
      <c r="D214" s="1649" t="s">
        <v>2684</v>
      </c>
      <c r="E214" s="1608"/>
      <c r="F214" s="1606"/>
      <c r="G214" s="1649"/>
      <c r="H214" s="1606"/>
      <c r="I214" s="1649"/>
      <c r="J214" s="1649"/>
      <c r="K214" s="1683"/>
      <c r="L214" s="1645"/>
      <c r="M214" s="1650"/>
      <c r="N214" s="1645"/>
      <c r="O214" s="1651"/>
      <c r="P214" s="1644"/>
      <c r="Q214" s="1644"/>
      <c r="R214" s="1644"/>
      <c r="S214" s="1644"/>
      <c r="T214" s="1645"/>
      <c r="U214" s="1645"/>
      <c r="V214" s="1652"/>
      <c r="W214" s="1652"/>
      <c r="X214" s="1653"/>
      <c r="Y214" s="1608"/>
    </row>
    <row r="215" spans="1:25">
      <c r="A215" s="1619"/>
      <c r="B215" s="1619">
        <v>54020020016</v>
      </c>
      <c r="C215" s="1662" t="s">
        <v>117</v>
      </c>
      <c r="D215" s="1654" t="s">
        <v>2685</v>
      </c>
      <c r="E215" s="1621"/>
      <c r="F215" s="1619"/>
      <c r="G215" s="1636"/>
      <c r="H215" s="1619"/>
      <c r="I215" s="1636"/>
      <c r="J215" s="1636"/>
      <c r="K215" s="1644"/>
      <c r="L215" s="1645"/>
      <c r="M215" s="1655"/>
      <c r="N215" s="1645"/>
      <c r="O215" s="1656"/>
      <c r="P215" s="1644"/>
      <c r="Q215" s="1644"/>
      <c r="R215" s="1644"/>
      <c r="S215" s="1644"/>
      <c r="T215" s="1657"/>
      <c r="U215" s="1657"/>
      <c r="V215" s="1658"/>
      <c r="W215" s="1658"/>
      <c r="X215" s="1637"/>
      <c r="Y215" s="1659"/>
    </row>
    <row r="216" spans="1:25">
      <c r="A216" s="3132">
        <v>4146</v>
      </c>
      <c r="B216" s="3132"/>
      <c r="C216" s="3132" t="s">
        <v>123</v>
      </c>
      <c r="D216" s="3134" t="s">
        <v>2686</v>
      </c>
      <c r="E216" s="1621" t="s">
        <v>2687</v>
      </c>
      <c r="F216" s="1619"/>
      <c r="G216" s="1636"/>
      <c r="H216" s="1619"/>
      <c r="I216" s="1636"/>
      <c r="J216" s="1636"/>
      <c r="K216" s="1633">
        <v>1</v>
      </c>
      <c r="L216" s="1631">
        <v>1</v>
      </c>
      <c r="M216" s="1655"/>
      <c r="N216" s="1631">
        <f>+N217+N218+N219</f>
        <v>9.0000000000000011E-2</v>
      </c>
      <c r="O216" s="3137">
        <f>IF(Q216&gt;0,N216,"na")</f>
        <v>9.0000000000000011E-2</v>
      </c>
      <c r="P216" s="1633">
        <f>+P217+P218+P219</f>
        <v>500000000</v>
      </c>
      <c r="Q216" s="1633">
        <f t="shared" ref="Q216:S216" si="71">+Q217+Q218+Q219</f>
        <v>500000000</v>
      </c>
      <c r="R216" s="1633">
        <f t="shared" si="71"/>
        <v>115322500</v>
      </c>
      <c r="S216" s="1633">
        <f t="shared" si="71"/>
        <v>48675000</v>
      </c>
      <c r="T216" s="1657">
        <f t="shared" ref="T216:U222" si="72">IF(Q216=0,0,R216/Q216)</f>
        <v>0.23064499999999999</v>
      </c>
      <c r="U216" s="1657">
        <f t="shared" si="72"/>
        <v>0.42207721823581695</v>
      </c>
      <c r="V216" s="1658"/>
      <c r="W216" s="1658"/>
      <c r="X216" s="1637"/>
      <c r="Y216" s="3131" t="s">
        <v>2680</v>
      </c>
    </row>
    <row r="217" spans="1:25" ht="92.4">
      <c r="A217" s="3132"/>
      <c r="B217" s="3132"/>
      <c r="C217" s="3132"/>
      <c r="D217" s="3134"/>
      <c r="E217" s="1621" t="s">
        <v>2688</v>
      </c>
      <c r="F217" s="1619"/>
      <c r="G217" s="1636"/>
      <c r="H217" s="1619"/>
      <c r="I217" s="1636" t="s">
        <v>2689</v>
      </c>
      <c r="J217" s="1636" t="s">
        <v>124</v>
      </c>
      <c r="K217" s="1633">
        <v>1</v>
      </c>
      <c r="L217" s="1631">
        <v>0.1</v>
      </c>
      <c r="M217" s="1632">
        <v>0</v>
      </c>
      <c r="N217" s="1631">
        <v>0.02</v>
      </c>
      <c r="O217" s="3137"/>
      <c r="P217" s="1633">
        <v>252000000</v>
      </c>
      <c r="Q217" s="1633">
        <v>252000000</v>
      </c>
      <c r="R217" s="1633">
        <v>73504500</v>
      </c>
      <c r="S217" s="1633">
        <v>34963500</v>
      </c>
      <c r="T217" s="1657">
        <f t="shared" si="72"/>
        <v>0.29168452380952381</v>
      </c>
      <c r="U217" s="1657">
        <f t="shared" si="72"/>
        <v>0.4756647552190682</v>
      </c>
      <c r="V217" s="1658">
        <v>45343</v>
      </c>
      <c r="W217" s="1658">
        <v>45657</v>
      </c>
      <c r="X217" s="1669" t="s">
        <v>2690</v>
      </c>
      <c r="Y217" s="3131"/>
    </row>
    <row r="218" spans="1:25" ht="105.6">
      <c r="A218" s="3132"/>
      <c r="B218" s="3132"/>
      <c r="C218" s="3132"/>
      <c r="D218" s="3134"/>
      <c r="E218" s="1621" t="s">
        <v>2691</v>
      </c>
      <c r="F218" s="1619"/>
      <c r="G218" s="1636" t="s">
        <v>2685</v>
      </c>
      <c r="H218" s="1619"/>
      <c r="I218" s="1636" t="s">
        <v>2692</v>
      </c>
      <c r="J218" s="1636" t="s">
        <v>139</v>
      </c>
      <c r="K218" s="1633">
        <v>1</v>
      </c>
      <c r="L218" s="1631">
        <v>0.8</v>
      </c>
      <c r="M218" s="1632">
        <v>0</v>
      </c>
      <c r="N218" s="1631">
        <v>0.05</v>
      </c>
      <c r="O218" s="3137"/>
      <c r="P218" s="1633">
        <v>198000000</v>
      </c>
      <c r="Q218" s="1633">
        <v>198000000</v>
      </c>
      <c r="R218" s="1633">
        <v>30880000</v>
      </c>
      <c r="S218" s="1633">
        <v>10065500</v>
      </c>
      <c r="T218" s="1657">
        <f t="shared" si="72"/>
        <v>0.15595959595959596</v>
      </c>
      <c r="U218" s="1657">
        <f t="shared" si="72"/>
        <v>0.32595531088082902</v>
      </c>
      <c r="V218" s="1658">
        <v>45307</v>
      </c>
      <c r="W218" s="1658">
        <v>45657</v>
      </c>
      <c r="X218" s="1669" t="s">
        <v>2693</v>
      </c>
      <c r="Y218" s="3131"/>
    </row>
    <row r="219" spans="1:25" ht="39.6">
      <c r="A219" s="3132"/>
      <c r="B219" s="3132"/>
      <c r="C219" s="3132"/>
      <c r="D219" s="3134"/>
      <c r="E219" s="1621" t="s">
        <v>2694</v>
      </c>
      <c r="F219" s="1619"/>
      <c r="G219" s="1636"/>
      <c r="H219" s="1619"/>
      <c r="I219" s="1636" t="s">
        <v>2695</v>
      </c>
      <c r="J219" s="1636" t="s">
        <v>267</v>
      </c>
      <c r="K219" s="1633">
        <v>10</v>
      </c>
      <c r="L219" s="1631">
        <v>0.1</v>
      </c>
      <c r="M219" s="1632">
        <v>0</v>
      </c>
      <c r="N219" s="1631">
        <v>0.02</v>
      </c>
      <c r="O219" s="3137"/>
      <c r="P219" s="1633">
        <v>50000000</v>
      </c>
      <c r="Q219" s="1633">
        <v>50000000</v>
      </c>
      <c r="R219" s="1633">
        <v>10938000</v>
      </c>
      <c r="S219" s="1633">
        <v>3646000</v>
      </c>
      <c r="T219" s="1657">
        <f>IF(Q219=0,0,R219/Q219)</f>
        <v>0.21876000000000001</v>
      </c>
      <c r="U219" s="1657">
        <f t="shared" si="72"/>
        <v>0.33333333333333331</v>
      </c>
      <c r="V219" s="1658">
        <v>45343</v>
      </c>
      <c r="W219" s="1658">
        <v>45657</v>
      </c>
      <c r="X219" s="1669" t="s">
        <v>2696</v>
      </c>
      <c r="Y219" s="3131"/>
    </row>
    <row r="220" spans="1:25">
      <c r="A220" s="3132">
        <v>4146</v>
      </c>
      <c r="B220" s="3132"/>
      <c r="C220" s="3132" t="s">
        <v>123</v>
      </c>
      <c r="D220" s="3134" t="s">
        <v>2697</v>
      </c>
      <c r="E220" s="1621" t="s">
        <v>2698</v>
      </c>
      <c r="F220" s="1619"/>
      <c r="G220" s="1636"/>
      <c r="H220" s="1619"/>
      <c r="I220" s="1636"/>
      <c r="J220" s="1620"/>
      <c r="K220" s="1667">
        <v>1</v>
      </c>
      <c r="L220" s="1668">
        <v>1</v>
      </c>
      <c r="M220" s="1667"/>
      <c r="N220" s="1631">
        <f>+N221+N222</f>
        <v>0</v>
      </c>
      <c r="O220" s="3137">
        <f>IF(Q220&gt;0,N220,"na")</f>
        <v>0</v>
      </c>
      <c r="P220" s="1633">
        <f>+P221+P222</f>
        <v>271857600</v>
      </c>
      <c r="Q220" s="1633">
        <f>+Q221+Q222</f>
        <v>271857600</v>
      </c>
      <c r="R220" s="1633">
        <f>+R221+R222</f>
        <v>0</v>
      </c>
      <c r="S220" s="1633">
        <f>+S221+S222</f>
        <v>0</v>
      </c>
      <c r="T220" s="1657">
        <f t="shared" si="72"/>
        <v>0</v>
      </c>
      <c r="U220" s="1657">
        <f t="shared" si="72"/>
        <v>0</v>
      </c>
      <c r="V220" s="1658"/>
      <c r="W220" s="1658"/>
      <c r="X220" s="1637"/>
      <c r="Y220" s="3131" t="s">
        <v>2670</v>
      </c>
    </row>
    <row r="221" spans="1:25" ht="52.8">
      <c r="A221" s="3132"/>
      <c r="B221" s="3132"/>
      <c r="C221" s="3132"/>
      <c r="D221" s="3135"/>
      <c r="E221" s="1621" t="s">
        <v>2699</v>
      </c>
      <c r="F221" s="1619"/>
      <c r="G221" s="1636"/>
      <c r="H221" s="1619"/>
      <c r="I221" s="1636" t="s">
        <v>2700</v>
      </c>
      <c r="J221" s="1636" t="s">
        <v>2701</v>
      </c>
      <c r="K221" s="1667">
        <v>1</v>
      </c>
      <c r="L221" s="1668">
        <v>0.6</v>
      </c>
      <c r="M221" s="1632">
        <v>0</v>
      </c>
      <c r="N221" s="1631">
        <v>0</v>
      </c>
      <c r="O221" s="3132"/>
      <c r="P221" s="1633">
        <v>117709200</v>
      </c>
      <c r="Q221" s="1633">
        <v>117709200</v>
      </c>
      <c r="R221" s="1633">
        <v>0</v>
      </c>
      <c r="S221" s="1633">
        <v>0</v>
      </c>
      <c r="T221" s="1657">
        <f t="shared" si="72"/>
        <v>0</v>
      </c>
      <c r="U221" s="1657">
        <f t="shared" si="72"/>
        <v>0</v>
      </c>
      <c r="V221" s="1658"/>
      <c r="W221" s="1658"/>
      <c r="X221" s="1637"/>
      <c r="Y221" s="3138"/>
    </row>
    <row r="222" spans="1:25" ht="66">
      <c r="A222" s="3133"/>
      <c r="B222" s="3133"/>
      <c r="C222" s="3133"/>
      <c r="D222" s="3136"/>
      <c r="E222" s="1715" t="s">
        <v>2702</v>
      </c>
      <c r="F222" s="1714"/>
      <c r="G222" s="1716"/>
      <c r="H222" s="1714"/>
      <c r="I222" s="1716" t="s">
        <v>2703</v>
      </c>
      <c r="J222" s="1716" t="s">
        <v>136</v>
      </c>
      <c r="K222" s="1717">
        <v>1</v>
      </c>
      <c r="L222" s="1718">
        <v>0.4</v>
      </c>
      <c r="M222" s="1742">
        <v>0</v>
      </c>
      <c r="N222" s="1743">
        <v>0</v>
      </c>
      <c r="O222" s="3133"/>
      <c r="P222" s="1719">
        <v>154148400</v>
      </c>
      <c r="Q222" s="1719">
        <v>154148400</v>
      </c>
      <c r="R222" s="1719">
        <v>0</v>
      </c>
      <c r="S222" s="1719">
        <v>0</v>
      </c>
      <c r="T222" s="1720">
        <f t="shared" si="72"/>
        <v>0</v>
      </c>
      <c r="U222" s="1720">
        <f t="shared" si="72"/>
        <v>0</v>
      </c>
      <c r="V222" s="1721"/>
      <c r="W222" s="1721"/>
      <c r="X222" s="1722"/>
      <c r="Y222" s="3139"/>
    </row>
    <row r="223" spans="1:25">
      <c r="A223" s="1723"/>
      <c r="B223" s="1723"/>
      <c r="C223" s="1723"/>
      <c r="D223" s="1724"/>
      <c r="E223" s="1723"/>
      <c r="F223" s="1725"/>
      <c r="G223" s="1726"/>
      <c r="H223" s="1725"/>
      <c r="I223" s="1726"/>
      <c r="J223" s="1727"/>
      <c r="K223" s="1725"/>
      <c r="L223" s="1725"/>
      <c r="M223" s="1725"/>
      <c r="N223" s="1725"/>
      <c r="O223" s="1725"/>
      <c r="P223" s="1728"/>
      <c r="Q223" s="1728"/>
      <c r="R223" s="1728"/>
      <c r="S223" s="1728"/>
      <c r="T223" s="1729"/>
      <c r="U223" s="1729"/>
      <c r="V223" s="1724"/>
      <c r="W223" s="1730"/>
      <c r="X223" s="516"/>
      <c r="Y223" s="516"/>
    </row>
    <row r="224" spans="1:25">
      <c r="A224" s="1731"/>
      <c r="B224" s="1731" t="s">
        <v>50</v>
      </c>
      <c r="C224" s="1731">
        <f>COUNTIF(C7:C222,"Pr")</f>
        <v>53</v>
      </c>
      <c r="D224" s="1732"/>
      <c r="E224" s="517" t="s">
        <v>126</v>
      </c>
      <c r="F224" s="45"/>
      <c r="G224" s="1733">
        <f>COUNTIF(O7:O222,"na")-A225</f>
        <v>0</v>
      </c>
      <c r="H224" s="1734"/>
      <c r="I224" s="1735"/>
      <c r="J224" s="1736"/>
      <c r="K224" s="1734"/>
      <c r="L224" s="1734"/>
      <c r="M224" s="1734"/>
      <c r="N224" s="47" t="s">
        <v>561</v>
      </c>
      <c r="O224" s="1737">
        <f>+AVERAGE(O7:O222)</f>
        <v>5.3396226415094353E-2</v>
      </c>
      <c r="P224" s="1738">
        <f>+P11+P18+P22+P26+P30+P34+P38+P41+P45+P48+P52+P56+P59+P62+P66+P69+P74+P77+P80+P85+P89+P93+P97+P102+P106+P110+P115+P118+P121+P125+P129+P132+P135+P140+P143+P148+P153+P157+P161+P166+P171+P175+P178+P182+P184+P188+P191+P197+P201+P208+P212+P216+P220</f>
        <v>134598808941</v>
      </c>
      <c r="Q224" s="1738">
        <f t="shared" ref="Q224:S224" si="73">+Q11+Q18+Q22+Q26+Q30+Q34+Q38+Q41+Q45+Q48+Q52+Q56+Q59+Q62+Q66+Q69+Q74+Q77+Q80+Q85+Q89+Q93+Q97+Q102+Q106+Q110+Q115+Q118+Q121+Q125+Q129+Q132+Q135+Q140+Q143+Q148+Q153+Q157+Q161+Q166+Q171+Q175+Q178+Q182+Q184+Q188+Q191+Q197+Q201+Q208+Q212+Q216+Q220</f>
        <v>134598808941</v>
      </c>
      <c r="R224" s="1738">
        <f t="shared" si="73"/>
        <v>44995231718</v>
      </c>
      <c r="S224" s="1738">
        <f t="shared" si="73"/>
        <v>2560394510</v>
      </c>
      <c r="T224" s="1739">
        <f>IF(Q224=0,0,R224/Q224)</f>
        <v>0.33429145526631809</v>
      </c>
      <c r="U224" s="1739">
        <f>IF(R224=0,0,S224/R224)</f>
        <v>5.6903685395973493E-2</v>
      </c>
      <c r="V224" s="1732"/>
      <c r="W224" s="1731"/>
      <c r="X224" s="1740"/>
      <c r="Y224" s="519"/>
    </row>
    <row r="225" spans="1:25">
      <c r="A225" s="1731"/>
      <c r="B225" s="1731"/>
      <c r="C225" s="1731"/>
      <c r="D225" s="1732"/>
      <c r="E225" s="1731"/>
      <c r="F225" s="1734"/>
      <c r="G225" s="1735"/>
      <c r="H225" s="1734"/>
      <c r="I225" s="1735"/>
      <c r="J225" s="1736"/>
      <c r="K225" s="1734"/>
      <c r="L225" s="1734"/>
      <c r="M225" s="1734"/>
      <c r="N225" s="1047" t="s">
        <v>133</v>
      </c>
      <c r="O225" s="1048">
        <f>COUNTIF(O11:O222,"=0%")</f>
        <v>27</v>
      </c>
      <c r="P225" s="521">
        <v>134598808941</v>
      </c>
      <c r="Q225" s="521">
        <v>134598808941</v>
      </c>
      <c r="R225" s="521">
        <v>44995231718</v>
      </c>
      <c r="S225" s="521">
        <v>2560394510</v>
      </c>
      <c r="T225" s="1732"/>
      <c r="U225" s="1732"/>
      <c r="V225" s="1732"/>
      <c r="W225" s="1731"/>
      <c r="X225" s="1740"/>
      <c r="Y225" s="519"/>
    </row>
  </sheetData>
  <autoFilter ref="A5:Y6" xr:uid="{00000000-0009-0000-0000-00000E000000}"/>
  <mergeCells count="343">
    <mergeCell ref="A2:Y2"/>
    <mergeCell ref="R5:R6"/>
    <mergeCell ref="L5:L6"/>
    <mergeCell ref="S3:U3"/>
    <mergeCell ref="N5:N6"/>
    <mergeCell ref="Y5:Y6"/>
    <mergeCell ref="V5:V6"/>
    <mergeCell ref="P5:P6"/>
    <mergeCell ref="M5:M6"/>
    <mergeCell ref="C3:R3"/>
    <mergeCell ref="E5:E6"/>
    <mergeCell ref="C5:C6"/>
    <mergeCell ref="G5:G6"/>
    <mergeCell ref="F5:F6"/>
    <mergeCell ref="D5:D6"/>
    <mergeCell ref="J5:J6"/>
    <mergeCell ref="A1:X1"/>
    <mergeCell ref="S5:S6"/>
    <mergeCell ref="T5:T6"/>
    <mergeCell ref="U5:U6"/>
    <mergeCell ref="K5:K6"/>
    <mergeCell ref="A3:B3"/>
    <mergeCell ref="V3:W3"/>
    <mergeCell ref="A4:Y4"/>
    <mergeCell ref="W5:W6"/>
    <mergeCell ref="I5:I6"/>
    <mergeCell ref="X5:X6"/>
    <mergeCell ref="A5:A6"/>
    <mergeCell ref="B5:B6"/>
    <mergeCell ref="H5:H6"/>
    <mergeCell ref="Q5:Q6"/>
    <mergeCell ref="O5:O6"/>
    <mergeCell ref="A18:A19"/>
    <mergeCell ref="B18:B19"/>
    <mergeCell ref="C18:C19"/>
    <mergeCell ref="D18:D19"/>
    <mergeCell ref="O18:O19"/>
    <mergeCell ref="Y18:Y19"/>
    <mergeCell ref="A11:A13"/>
    <mergeCell ref="B11:B13"/>
    <mergeCell ref="C11:C13"/>
    <mergeCell ref="D11:D13"/>
    <mergeCell ref="O11:O13"/>
    <mergeCell ref="Y11:Y13"/>
    <mergeCell ref="Y22:Y24"/>
    <mergeCell ref="A26:A28"/>
    <mergeCell ref="B26:B28"/>
    <mergeCell ref="C26:C28"/>
    <mergeCell ref="D26:D28"/>
    <mergeCell ref="O26:O28"/>
    <mergeCell ref="Y26:Y28"/>
    <mergeCell ref="A22:A24"/>
    <mergeCell ref="B22:B24"/>
    <mergeCell ref="C22:C24"/>
    <mergeCell ref="D22:D24"/>
    <mergeCell ref="O22:O24"/>
    <mergeCell ref="Y30:Y32"/>
    <mergeCell ref="A34:A36"/>
    <mergeCell ref="B34:B36"/>
    <mergeCell ref="C34:C36"/>
    <mergeCell ref="D34:D36"/>
    <mergeCell ref="O34:O36"/>
    <mergeCell ref="Y34:Y36"/>
    <mergeCell ref="A30:A32"/>
    <mergeCell ref="B30:B32"/>
    <mergeCell ref="C30:C32"/>
    <mergeCell ref="D30:D32"/>
    <mergeCell ref="O30:O32"/>
    <mergeCell ref="Y38:Y39"/>
    <mergeCell ref="A41:A43"/>
    <mergeCell ref="B41:B43"/>
    <mergeCell ref="C41:C43"/>
    <mergeCell ref="D41:D43"/>
    <mergeCell ref="O41:O43"/>
    <mergeCell ref="Y41:Y43"/>
    <mergeCell ref="A38:A39"/>
    <mergeCell ref="B38:B39"/>
    <mergeCell ref="C38:C39"/>
    <mergeCell ref="D38:D39"/>
    <mergeCell ref="O38:O39"/>
    <mergeCell ref="Y45:Y46"/>
    <mergeCell ref="A48:A50"/>
    <mergeCell ref="B48:B50"/>
    <mergeCell ref="C48:C50"/>
    <mergeCell ref="D48:D50"/>
    <mergeCell ref="O48:O50"/>
    <mergeCell ref="Y48:Y50"/>
    <mergeCell ref="A45:A46"/>
    <mergeCell ref="B45:B46"/>
    <mergeCell ref="C45:C46"/>
    <mergeCell ref="D45:D46"/>
    <mergeCell ref="O45:O46"/>
    <mergeCell ref="Y52:Y54"/>
    <mergeCell ref="A56:A57"/>
    <mergeCell ref="B56:B57"/>
    <mergeCell ref="C56:C57"/>
    <mergeCell ref="D56:D57"/>
    <mergeCell ref="Y56:Y57"/>
    <mergeCell ref="A52:A54"/>
    <mergeCell ref="B52:B54"/>
    <mergeCell ref="C52:C54"/>
    <mergeCell ref="D52:D54"/>
    <mergeCell ref="O52:O54"/>
    <mergeCell ref="Y59:Y60"/>
    <mergeCell ref="A62:A64"/>
    <mergeCell ref="B62:B64"/>
    <mergeCell ref="C62:C64"/>
    <mergeCell ref="D62:D64"/>
    <mergeCell ref="O62:O64"/>
    <mergeCell ref="Y62:Y64"/>
    <mergeCell ref="A59:A60"/>
    <mergeCell ref="B59:B60"/>
    <mergeCell ref="C59:C60"/>
    <mergeCell ref="D59:D60"/>
    <mergeCell ref="O59:O60"/>
    <mergeCell ref="Y66:Y67"/>
    <mergeCell ref="A69:A70"/>
    <mergeCell ref="B69:B70"/>
    <mergeCell ref="C69:C70"/>
    <mergeCell ref="D69:D70"/>
    <mergeCell ref="O69:O70"/>
    <mergeCell ref="Y69:Y70"/>
    <mergeCell ref="A66:A67"/>
    <mergeCell ref="B66:B67"/>
    <mergeCell ref="C66:C67"/>
    <mergeCell ref="D66:D67"/>
    <mergeCell ref="O66:O67"/>
    <mergeCell ref="Y74:Y75"/>
    <mergeCell ref="O77:O78"/>
    <mergeCell ref="Y77:Y78"/>
    <mergeCell ref="A80:A83"/>
    <mergeCell ref="B80:B83"/>
    <mergeCell ref="C80:C83"/>
    <mergeCell ref="D80:D83"/>
    <mergeCell ref="O80:O83"/>
    <mergeCell ref="Y80:Y83"/>
    <mergeCell ref="A74:A75"/>
    <mergeCell ref="B74:B75"/>
    <mergeCell ref="C74:C75"/>
    <mergeCell ref="D74:D75"/>
    <mergeCell ref="O74:O75"/>
    <mergeCell ref="Y85:Y87"/>
    <mergeCell ref="A89:A90"/>
    <mergeCell ref="B89:B90"/>
    <mergeCell ref="C89:C90"/>
    <mergeCell ref="D89:D90"/>
    <mergeCell ref="O89:O90"/>
    <mergeCell ref="Y89:Y90"/>
    <mergeCell ref="A85:A87"/>
    <mergeCell ref="B85:B87"/>
    <mergeCell ref="C85:C87"/>
    <mergeCell ref="D85:D87"/>
    <mergeCell ref="O85:O87"/>
    <mergeCell ref="Y93:Y95"/>
    <mergeCell ref="A97:A99"/>
    <mergeCell ref="B97:B99"/>
    <mergeCell ref="C97:C99"/>
    <mergeCell ref="D97:D99"/>
    <mergeCell ref="O97:O99"/>
    <mergeCell ref="Y97:Y99"/>
    <mergeCell ref="A93:A95"/>
    <mergeCell ref="B93:B95"/>
    <mergeCell ref="C93:C95"/>
    <mergeCell ref="D93:D95"/>
    <mergeCell ref="O93:O95"/>
    <mergeCell ref="Y102:Y104"/>
    <mergeCell ref="A106:A108"/>
    <mergeCell ref="B106:B108"/>
    <mergeCell ref="C106:C108"/>
    <mergeCell ref="D106:D108"/>
    <mergeCell ref="O106:O108"/>
    <mergeCell ref="Y106:Y108"/>
    <mergeCell ref="A102:A104"/>
    <mergeCell ref="B102:B104"/>
    <mergeCell ref="C102:C104"/>
    <mergeCell ref="D102:D104"/>
    <mergeCell ref="O102:O104"/>
    <mergeCell ref="Y110:Y112"/>
    <mergeCell ref="A115:A116"/>
    <mergeCell ref="B115:B116"/>
    <mergeCell ref="C115:C116"/>
    <mergeCell ref="D115:D116"/>
    <mergeCell ref="O115:O116"/>
    <mergeCell ref="Y115:Y116"/>
    <mergeCell ref="A110:A112"/>
    <mergeCell ref="B110:B112"/>
    <mergeCell ref="C110:C112"/>
    <mergeCell ref="D110:D112"/>
    <mergeCell ref="O110:O112"/>
    <mergeCell ref="Y118:Y119"/>
    <mergeCell ref="A121:A123"/>
    <mergeCell ref="B121:B123"/>
    <mergeCell ref="C121:C123"/>
    <mergeCell ref="D121:D123"/>
    <mergeCell ref="O121:O123"/>
    <mergeCell ref="Y121:Y123"/>
    <mergeCell ref="A118:A119"/>
    <mergeCell ref="B118:B119"/>
    <mergeCell ref="C118:C119"/>
    <mergeCell ref="D118:D119"/>
    <mergeCell ref="O118:O119"/>
    <mergeCell ref="Y125:Y126"/>
    <mergeCell ref="A129:A131"/>
    <mergeCell ref="B129:B131"/>
    <mergeCell ref="C129:C131"/>
    <mergeCell ref="D129:D131"/>
    <mergeCell ref="O129:O131"/>
    <mergeCell ref="Y129:Y133"/>
    <mergeCell ref="A132:A133"/>
    <mergeCell ref="B132:B133"/>
    <mergeCell ref="C132:C133"/>
    <mergeCell ref="D132:D133"/>
    <mergeCell ref="O132:O133"/>
    <mergeCell ref="A125:A126"/>
    <mergeCell ref="B125:B126"/>
    <mergeCell ref="C125:C126"/>
    <mergeCell ref="D125:D126"/>
    <mergeCell ref="O125:O126"/>
    <mergeCell ref="Y135:Y137"/>
    <mergeCell ref="A140:A141"/>
    <mergeCell ref="B140:B141"/>
    <mergeCell ref="C140:C141"/>
    <mergeCell ref="D140:D141"/>
    <mergeCell ref="O140:O141"/>
    <mergeCell ref="Y140:Y141"/>
    <mergeCell ref="A135:A137"/>
    <mergeCell ref="B135:B137"/>
    <mergeCell ref="C135:C137"/>
    <mergeCell ref="D135:D137"/>
    <mergeCell ref="O135:O137"/>
    <mergeCell ref="Y143:Y146"/>
    <mergeCell ref="A148:A150"/>
    <mergeCell ref="B148:B150"/>
    <mergeCell ref="C148:C150"/>
    <mergeCell ref="D148:D150"/>
    <mergeCell ref="O148:O150"/>
    <mergeCell ref="Y148:Y150"/>
    <mergeCell ref="A143:A146"/>
    <mergeCell ref="B143:B146"/>
    <mergeCell ref="C143:C146"/>
    <mergeCell ref="D143:D146"/>
    <mergeCell ref="O143:O146"/>
    <mergeCell ref="Y153:Y155"/>
    <mergeCell ref="A157:A159"/>
    <mergeCell ref="B157:B159"/>
    <mergeCell ref="C157:C159"/>
    <mergeCell ref="D157:D159"/>
    <mergeCell ref="O157:O159"/>
    <mergeCell ref="Y157:Y159"/>
    <mergeCell ref="A153:A155"/>
    <mergeCell ref="B153:B155"/>
    <mergeCell ref="C153:C155"/>
    <mergeCell ref="D153:D155"/>
    <mergeCell ref="O153:O155"/>
    <mergeCell ref="Y161:Y163"/>
    <mergeCell ref="A166:A168"/>
    <mergeCell ref="B166:B168"/>
    <mergeCell ref="C166:C168"/>
    <mergeCell ref="D166:D168"/>
    <mergeCell ref="O166:O168"/>
    <mergeCell ref="Y166:Y168"/>
    <mergeCell ref="A161:A163"/>
    <mergeCell ref="B161:B163"/>
    <mergeCell ref="C161:C163"/>
    <mergeCell ref="D161:D163"/>
    <mergeCell ref="O161:O163"/>
    <mergeCell ref="Y171:Y173"/>
    <mergeCell ref="A175:A177"/>
    <mergeCell ref="B175:B177"/>
    <mergeCell ref="C175:C177"/>
    <mergeCell ref="D175:D177"/>
    <mergeCell ref="O175:O177"/>
    <mergeCell ref="Y175:Y177"/>
    <mergeCell ref="A171:A173"/>
    <mergeCell ref="B171:B173"/>
    <mergeCell ref="C171:C173"/>
    <mergeCell ref="D171:D173"/>
    <mergeCell ref="O171:O173"/>
    <mergeCell ref="Y178:Y180"/>
    <mergeCell ref="A182:A183"/>
    <mergeCell ref="B182:B183"/>
    <mergeCell ref="C182:C183"/>
    <mergeCell ref="D182:D183"/>
    <mergeCell ref="O182:O183"/>
    <mergeCell ref="Y182:Y186"/>
    <mergeCell ref="A184:A186"/>
    <mergeCell ref="B184:B186"/>
    <mergeCell ref="C184:C186"/>
    <mergeCell ref="D184:D186"/>
    <mergeCell ref="O184:O186"/>
    <mergeCell ref="A178:A180"/>
    <mergeCell ref="B178:B180"/>
    <mergeCell ref="C178:C180"/>
    <mergeCell ref="D178:D180"/>
    <mergeCell ref="O178:O180"/>
    <mergeCell ref="Y188:Y189"/>
    <mergeCell ref="A191:A193"/>
    <mergeCell ref="B191:B193"/>
    <mergeCell ref="C191:C193"/>
    <mergeCell ref="D191:D193"/>
    <mergeCell ref="O191:O193"/>
    <mergeCell ref="Y191:Y193"/>
    <mergeCell ref="A188:A189"/>
    <mergeCell ref="B188:B189"/>
    <mergeCell ref="C188:C189"/>
    <mergeCell ref="D188:D189"/>
    <mergeCell ref="O188:O189"/>
    <mergeCell ref="Y197:Y199"/>
    <mergeCell ref="A201:A203"/>
    <mergeCell ref="B201:B203"/>
    <mergeCell ref="C201:C203"/>
    <mergeCell ref="D201:D203"/>
    <mergeCell ref="O201:O203"/>
    <mergeCell ref="Y201:Y203"/>
    <mergeCell ref="A197:A199"/>
    <mergeCell ref="B197:B199"/>
    <mergeCell ref="C197:C199"/>
    <mergeCell ref="D197:D199"/>
    <mergeCell ref="O197:O199"/>
    <mergeCell ref="Y208:Y210"/>
    <mergeCell ref="A212:A213"/>
    <mergeCell ref="B212:B213"/>
    <mergeCell ref="C212:C213"/>
    <mergeCell ref="D212:D213"/>
    <mergeCell ref="O212:O213"/>
    <mergeCell ref="Y212:Y213"/>
    <mergeCell ref="A208:A210"/>
    <mergeCell ref="B208:B210"/>
    <mergeCell ref="C208:C210"/>
    <mergeCell ref="D208:D210"/>
    <mergeCell ref="O208:O210"/>
    <mergeCell ref="Y216:Y219"/>
    <mergeCell ref="A220:A222"/>
    <mergeCell ref="B220:B222"/>
    <mergeCell ref="C220:C222"/>
    <mergeCell ref="D220:D222"/>
    <mergeCell ref="O220:O222"/>
    <mergeCell ref="Y220:Y222"/>
    <mergeCell ref="A216:A219"/>
    <mergeCell ref="B216:B219"/>
    <mergeCell ref="C216:C219"/>
    <mergeCell ref="D216:D219"/>
    <mergeCell ref="O216:O219"/>
  </mergeCells>
  <conditionalFormatting sqref="E12:E177 M12:N222 V12:X222 E181:E222">
    <cfRule type="expression" dxfId="1" priority="1">
      <formula>$R12=0</formula>
    </cfRule>
  </conditionalFormatting>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71"/>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20.10937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7" customFormat="1" ht="25.5" customHeight="1">
      <c r="A2" s="3156"/>
      <c r="B2" s="3156"/>
      <c r="C2" s="3156"/>
      <c r="D2" s="3156"/>
      <c r="E2" s="3156"/>
      <c r="F2" s="3156"/>
      <c r="G2" s="3156"/>
      <c r="H2" s="3156"/>
      <c r="I2" s="3156"/>
      <c r="J2" s="3156"/>
      <c r="K2" s="3156"/>
      <c r="L2" s="3156"/>
      <c r="M2" s="3156"/>
      <c r="N2" s="3156"/>
      <c r="O2" s="3156"/>
      <c r="P2" s="3156"/>
      <c r="Q2" s="3156"/>
      <c r="R2" s="3156"/>
      <c r="S2" s="3156"/>
      <c r="T2" s="3156"/>
      <c r="U2" s="3156"/>
      <c r="V2" s="3156"/>
      <c r="W2" s="3156"/>
      <c r="X2" s="3156"/>
      <c r="Y2" s="3156"/>
    </row>
    <row r="3" spans="1:25" s="66" customFormat="1" ht="25.5" customHeight="1">
      <c r="A3" s="3021" t="s">
        <v>87</v>
      </c>
      <c r="B3" s="3021"/>
      <c r="C3" s="3021" t="s">
        <v>272</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3">
        <v>2024</v>
      </c>
    </row>
    <row r="4" spans="1:25" s="27" customFormat="1" ht="25.5" customHeight="1">
      <c r="A4" s="3155"/>
      <c r="B4" s="3155"/>
      <c r="C4" s="3155"/>
      <c r="D4" s="3155"/>
      <c r="E4" s="3155"/>
      <c r="F4" s="3155"/>
      <c r="G4" s="3155"/>
      <c r="H4" s="3155"/>
      <c r="I4" s="3155"/>
      <c r="J4" s="3155"/>
      <c r="K4" s="3155"/>
      <c r="L4" s="3155"/>
      <c r="M4" s="3155"/>
      <c r="N4" s="3155"/>
      <c r="O4" s="3155"/>
      <c r="P4" s="3155"/>
      <c r="Q4" s="3155"/>
      <c r="R4" s="3155"/>
      <c r="S4" s="3155"/>
      <c r="T4" s="3155"/>
      <c r="U4" s="3155"/>
      <c r="V4" s="3155"/>
      <c r="W4" s="3155"/>
      <c r="X4" s="3155"/>
      <c r="Y4" s="3155"/>
    </row>
    <row r="5" spans="1:25" s="27" customFormat="1">
      <c r="A5" s="2869" t="s">
        <v>88</v>
      </c>
      <c r="B5" s="2869" t="s">
        <v>4</v>
      </c>
      <c r="C5" s="2869" t="s">
        <v>3</v>
      </c>
      <c r="D5" s="3151" t="s">
        <v>273</v>
      </c>
      <c r="E5" s="2869" t="s">
        <v>2</v>
      </c>
      <c r="F5" s="2869" t="s">
        <v>274</v>
      </c>
      <c r="G5" s="3151" t="s">
        <v>106</v>
      </c>
      <c r="H5" s="3151" t="s">
        <v>107</v>
      </c>
      <c r="I5" s="2869" t="s">
        <v>8</v>
      </c>
      <c r="J5" s="2869" t="s">
        <v>9</v>
      </c>
      <c r="K5" s="2869" t="s">
        <v>10</v>
      </c>
      <c r="L5" s="3065" t="s">
        <v>11</v>
      </c>
      <c r="M5" s="2867" t="s">
        <v>100</v>
      </c>
      <c r="N5" s="2868" t="s">
        <v>12</v>
      </c>
      <c r="O5" s="2868" t="s">
        <v>86</v>
      </c>
      <c r="P5" s="3153" t="s">
        <v>1</v>
      </c>
      <c r="Q5" s="2868" t="s">
        <v>13</v>
      </c>
      <c r="R5" s="2868" t="s">
        <v>14</v>
      </c>
      <c r="S5" s="2868" t="s">
        <v>16</v>
      </c>
      <c r="T5" s="2868" t="s">
        <v>15</v>
      </c>
      <c r="U5" s="2868" t="s">
        <v>103</v>
      </c>
      <c r="V5" s="3153" t="s">
        <v>275</v>
      </c>
      <c r="W5" s="3153" t="s">
        <v>7</v>
      </c>
      <c r="X5" s="3153" t="s">
        <v>0</v>
      </c>
      <c r="Y5" s="3063" t="s">
        <v>90</v>
      </c>
    </row>
    <row r="6" spans="1:25" s="27" customFormat="1" ht="80.25" customHeight="1">
      <c r="A6" s="3065"/>
      <c r="B6" s="3065"/>
      <c r="C6" s="3065"/>
      <c r="D6" s="3152"/>
      <c r="E6" s="3065"/>
      <c r="F6" s="3065"/>
      <c r="G6" s="3152"/>
      <c r="H6" s="3152"/>
      <c r="I6" s="3065"/>
      <c r="J6" s="3065"/>
      <c r="K6" s="3065"/>
      <c r="L6" s="3158"/>
      <c r="M6" s="2908"/>
      <c r="N6" s="3063"/>
      <c r="O6" s="3063"/>
      <c r="P6" s="3154"/>
      <c r="Q6" s="3063"/>
      <c r="R6" s="3063"/>
      <c r="S6" s="3063"/>
      <c r="T6" s="3063"/>
      <c r="U6" s="3063"/>
      <c r="V6" s="3154"/>
      <c r="W6" s="3154"/>
      <c r="X6" s="3154"/>
      <c r="Y6" s="3157"/>
    </row>
    <row r="7" spans="1:25" s="420" customFormat="1" ht="15.6">
      <c r="A7" s="161"/>
      <c r="B7" s="81">
        <v>52</v>
      </c>
      <c r="C7" s="81" t="s">
        <v>114</v>
      </c>
      <c r="D7" s="125" t="s">
        <v>2704</v>
      </c>
      <c r="E7" s="82"/>
      <c r="F7" s="80"/>
      <c r="G7" s="80"/>
      <c r="H7" s="81"/>
      <c r="I7" s="80"/>
      <c r="J7" s="80"/>
      <c r="K7" s="80"/>
      <c r="L7" s="80"/>
      <c r="M7" s="83"/>
      <c r="N7" s="1774"/>
      <c r="O7" s="82"/>
      <c r="P7" s="80"/>
      <c r="Q7" s="80"/>
      <c r="R7" s="80"/>
      <c r="S7" s="80"/>
      <c r="T7" s="80"/>
      <c r="U7" s="80"/>
      <c r="V7" s="80"/>
      <c r="W7" s="80"/>
      <c r="X7" s="80"/>
      <c r="Y7" s="80"/>
    </row>
    <row r="8" spans="1:25" s="420" customFormat="1" ht="15.6">
      <c r="A8" s="84"/>
      <c r="B8" s="119">
        <v>5203</v>
      </c>
      <c r="C8" s="119" t="s">
        <v>115</v>
      </c>
      <c r="D8" s="88" t="s">
        <v>163</v>
      </c>
      <c r="E8" s="86"/>
      <c r="F8" s="84"/>
      <c r="G8" s="84"/>
      <c r="H8" s="85"/>
      <c r="I8" s="84"/>
      <c r="J8" s="84"/>
      <c r="K8" s="84"/>
      <c r="L8" s="84"/>
      <c r="M8" s="87"/>
      <c r="N8" s="1775"/>
      <c r="O8" s="86"/>
      <c r="P8" s="84"/>
      <c r="Q8" s="84"/>
      <c r="R8" s="84"/>
      <c r="S8" s="84"/>
      <c r="T8" s="84"/>
      <c r="U8" s="84"/>
      <c r="V8" s="84"/>
      <c r="W8" s="84"/>
      <c r="X8" s="84"/>
      <c r="Y8" s="84"/>
    </row>
    <row r="9" spans="1:25">
      <c r="A9" s="146"/>
      <c r="B9" s="120">
        <v>5203005</v>
      </c>
      <c r="C9" s="120" t="s">
        <v>116</v>
      </c>
      <c r="D9" s="96" t="s">
        <v>2705</v>
      </c>
      <c r="E9" s="90"/>
      <c r="F9" s="90"/>
      <c r="G9" s="90"/>
      <c r="H9" s="146"/>
      <c r="I9" s="96"/>
      <c r="J9" s="96"/>
      <c r="K9" s="146"/>
      <c r="L9" s="146"/>
      <c r="M9" s="98"/>
      <c r="N9" s="1778"/>
      <c r="O9" s="200"/>
      <c r="P9" s="96"/>
      <c r="Q9" s="89"/>
      <c r="R9" s="89"/>
      <c r="S9" s="89"/>
      <c r="T9" s="89"/>
      <c r="U9" s="89"/>
      <c r="V9" s="89"/>
      <c r="W9" s="89"/>
      <c r="X9" s="89"/>
      <c r="Y9" s="89"/>
    </row>
    <row r="10" spans="1:25">
      <c r="A10" s="116"/>
      <c r="B10" s="117">
        <v>52030050001</v>
      </c>
      <c r="C10" s="117" t="s">
        <v>117</v>
      </c>
      <c r="D10" s="73" t="s">
        <v>2706</v>
      </c>
      <c r="E10" s="105"/>
      <c r="F10" s="105"/>
      <c r="G10" s="105"/>
      <c r="H10" s="116"/>
      <c r="I10" s="73"/>
      <c r="J10" s="73"/>
      <c r="K10" s="116"/>
      <c r="L10" s="116"/>
      <c r="M10" s="78"/>
      <c r="N10" s="1751"/>
      <c r="O10" s="166"/>
      <c r="P10" s="73"/>
      <c r="Q10" s="91"/>
      <c r="R10" s="91"/>
      <c r="S10" s="91"/>
      <c r="T10" s="91"/>
      <c r="U10" s="91"/>
      <c r="V10" s="91"/>
      <c r="W10" s="91"/>
      <c r="X10" s="91"/>
      <c r="Y10" s="91"/>
    </row>
    <row r="11" spans="1:25" s="761" customFormat="1" ht="13.2">
      <c r="A11" s="2993">
        <v>4147</v>
      </c>
      <c r="B11" s="3161"/>
      <c r="C11" s="3159" t="s">
        <v>502</v>
      </c>
      <c r="D11" s="2995" t="s">
        <v>2707</v>
      </c>
      <c r="E11" s="115" t="s">
        <v>2708</v>
      </c>
      <c r="F11" s="75"/>
      <c r="G11" s="75"/>
      <c r="H11" s="74"/>
      <c r="I11" s="75"/>
      <c r="J11" s="75"/>
      <c r="K11" s="75">
        <f>+K14</f>
        <v>107</v>
      </c>
      <c r="L11" s="77">
        <f>SUM(L12:L14)</f>
        <v>1</v>
      </c>
      <c r="M11" s="281"/>
      <c r="N11" s="1768">
        <f>SUM(N12:N14)</f>
        <v>0.14200000000000002</v>
      </c>
      <c r="O11" s="3160">
        <f>+IF(Q11&gt;0,N11,"na")</f>
        <v>0.14200000000000002</v>
      </c>
      <c r="P11" s="1769">
        <f>SUM(P12:P14)</f>
        <v>4163832400</v>
      </c>
      <c r="Q11" s="1769">
        <f t="shared" ref="Q11:S11" si="0">SUM(Q12:Q14)</f>
        <v>4163832400</v>
      </c>
      <c r="R11" s="1769">
        <f t="shared" si="0"/>
        <v>1918289000</v>
      </c>
      <c r="S11" s="1769">
        <f t="shared" si="0"/>
        <v>234975500</v>
      </c>
      <c r="T11" s="1770">
        <f>IF(Q11=0,0,R11/Q11)</f>
        <v>0.46070274106133569</v>
      </c>
      <c r="U11" s="1770">
        <f t="shared" ref="U11:U14" si="1">IF(R11=0,0,S11/R11)</f>
        <v>0.12249223135825728</v>
      </c>
      <c r="V11" s="75"/>
      <c r="W11" s="75"/>
      <c r="X11" s="75"/>
      <c r="Y11" s="75"/>
    </row>
    <row r="12" spans="1:25" s="761" customFormat="1" ht="66">
      <c r="A12" s="2993"/>
      <c r="B12" s="3161"/>
      <c r="C12" s="3159"/>
      <c r="D12" s="2995"/>
      <c r="E12" s="115" t="s">
        <v>2709</v>
      </c>
      <c r="F12" s="75"/>
      <c r="G12" s="75"/>
      <c r="H12" s="74"/>
      <c r="I12" s="95" t="s">
        <v>2710</v>
      </c>
      <c r="J12" s="95" t="s">
        <v>207</v>
      </c>
      <c r="K12" s="75">
        <v>1</v>
      </c>
      <c r="L12" s="1770">
        <v>0.2</v>
      </c>
      <c r="M12" s="281">
        <v>0</v>
      </c>
      <c r="N12" s="1768">
        <v>2.9000000000000001E-2</v>
      </c>
      <c r="O12" s="3160"/>
      <c r="P12" s="1769">
        <v>2521897000</v>
      </c>
      <c r="Q12" s="1769">
        <v>2521897000</v>
      </c>
      <c r="R12" s="1771">
        <v>580413000</v>
      </c>
      <c r="S12" s="1771">
        <v>196261000</v>
      </c>
      <c r="T12" s="1770">
        <f t="shared" ref="T12:T14" si="2">IF(Q12=0,0,R12/Q12)</f>
        <v>0.23014936771803129</v>
      </c>
      <c r="U12" s="1770">
        <f t="shared" si="1"/>
        <v>0.33814025530096675</v>
      </c>
      <c r="V12" s="1780">
        <v>45315</v>
      </c>
      <c r="W12" s="1780">
        <v>45412</v>
      </c>
      <c r="X12" s="95" t="s">
        <v>2711</v>
      </c>
      <c r="Y12" s="2988" t="s">
        <v>2712</v>
      </c>
    </row>
    <row r="13" spans="1:25" s="761" customFormat="1" ht="66">
      <c r="A13" s="2993"/>
      <c r="B13" s="3161"/>
      <c r="C13" s="3159"/>
      <c r="D13" s="2995"/>
      <c r="E13" s="115" t="s">
        <v>2713</v>
      </c>
      <c r="F13" s="115"/>
      <c r="G13" s="115"/>
      <c r="H13" s="142"/>
      <c r="I13" s="95" t="s">
        <v>2714</v>
      </c>
      <c r="J13" s="95" t="s">
        <v>2715</v>
      </c>
      <c r="K13" s="75">
        <v>1</v>
      </c>
      <c r="L13" s="1770">
        <v>0.2</v>
      </c>
      <c r="M13" s="281">
        <v>0</v>
      </c>
      <c r="N13" s="1768">
        <v>2.9000000000000001E-2</v>
      </c>
      <c r="O13" s="3160"/>
      <c r="P13" s="1781">
        <v>381935400</v>
      </c>
      <c r="Q13" s="1769">
        <v>381935400</v>
      </c>
      <c r="R13" s="1771">
        <v>77876000</v>
      </c>
      <c r="S13" s="1771">
        <v>38714500</v>
      </c>
      <c r="T13" s="1770">
        <f t="shared" si="2"/>
        <v>0.20389835558578753</v>
      </c>
      <c r="U13" s="1770">
        <f t="shared" si="1"/>
        <v>0.49713005290461759</v>
      </c>
      <c r="V13" s="1780">
        <v>45315</v>
      </c>
      <c r="W13" s="1780">
        <v>45412</v>
      </c>
      <c r="X13" s="95" t="s">
        <v>2716</v>
      </c>
      <c r="Y13" s="2988"/>
    </row>
    <row r="14" spans="1:25" s="761" customFormat="1" ht="79.2">
      <c r="A14" s="2993"/>
      <c r="B14" s="3161"/>
      <c r="C14" s="3159"/>
      <c r="D14" s="2995"/>
      <c r="E14" s="115" t="s">
        <v>2717</v>
      </c>
      <c r="F14" s="75"/>
      <c r="G14" s="95" t="s">
        <v>2706</v>
      </c>
      <c r="H14" s="74"/>
      <c r="I14" s="95" t="s">
        <v>2718</v>
      </c>
      <c r="J14" s="95" t="s">
        <v>2719</v>
      </c>
      <c r="K14" s="75">
        <v>107</v>
      </c>
      <c r="L14" s="1770">
        <v>0.6</v>
      </c>
      <c r="M14" s="281">
        <v>0</v>
      </c>
      <c r="N14" s="1768">
        <v>8.4000000000000005E-2</v>
      </c>
      <c r="O14" s="3160"/>
      <c r="P14" s="1769">
        <v>1260000000</v>
      </c>
      <c r="Q14" s="1769">
        <v>1260000000</v>
      </c>
      <c r="R14" s="1771">
        <v>1260000000</v>
      </c>
      <c r="S14" s="1772">
        <v>0</v>
      </c>
      <c r="T14" s="1770">
        <f t="shared" si="2"/>
        <v>1</v>
      </c>
      <c r="U14" s="1770">
        <f t="shared" si="1"/>
        <v>0</v>
      </c>
      <c r="V14" s="1780">
        <v>45351</v>
      </c>
      <c r="W14" s="1780">
        <v>45473</v>
      </c>
      <c r="X14" s="95" t="s">
        <v>2720</v>
      </c>
      <c r="Y14" s="2988"/>
    </row>
    <row r="15" spans="1:25">
      <c r="A15" s="91"/>
      <c r="B15" s="117">
        <v>52030050002</v>
      </c>
      <c r="C15" s="117" t="s">
        <v>117</v>
      </c>
      <c r="D15" s="91" t="s">
        <v>2721</v>
      </c>
      <c r="E15" s="105"/>
      <c r="F15" s="91"/>
      <c r="G15" s="91"/>
      <c r="H15" s="72"/>
      <c r="I15" s="91"/>
      <c r="J15" s="91"/>
      <c r="K15" s="91"/>
      <c r="L15" s="91"/>
      <c r="M15" s="78"/>
      <c r="N15" s="1750"/>
      <c r="O15" s="105"/>
      <c r="P15" s="91"/>
      <c r="Q15" s="91"/>
      <c r="R15" s="72"/>
      <c r="S15" s="72"/>
      <c r="T15" s="91"/>
      <c r="U15" s="91"/>
      <c r="V15" s="91"/>
      <c r="W15" s="91"/>
      <c r="X15" s="91"/>
      <c r="Y15" s="91"/>
    </row>
    <row r="16" spans="1:25" s="761" customFormat="1" ht="13.2">
      <c r="A16" s="2993">
        <v>4147</v>
      </c>
      <c r="B16" s="3159"/>
      <c r="C16" s="3159" t="s">
        <v>502</v>
      </c>
      <c r="D16" s="2995" t="s">
        <v>2722</v>
      </c>
      <c r="E16" s="115" t="s">
        <v>2723</v>
      </c>
      <c r="F16" s="75"/>
      <c r="G16" s="75"/>
      <c r="H16" s="74"/>
      <c r="I16" s="75"/>
      <c r="J16" s="75"/>
      <c r="K16" s="75">
        <f>+K18</f>
        <v>1</v>
      </c>
      <c r="L16" s="77">
        <f>SUM(L17:L18)</f>
        <v>1</v>
      </c>
      <c r="M16" s="281"/>
      <c r="N16" s="1768">
        <f>SUM(N17:N18)</f>
        <v>0.107</v>
      </c>
      <c r="O16" s="3160">
        <f>+IF(Q16&gt;0,N16,"na")</f>
        <v>0.107</v>
      </c>
      <c r="P16" s="1769">
        <f>SUM(P17:P18)</f>
        <v>1270479960</v>
      </c>
      <c r="Q16" s="1769">
        <f>SUM(Q17:Q18)</f>
        <v>1270479960</v>
      </c>
      <c r="R16" s="1771">
        <f>SUM(R17:R18)</f>
        <v>129134998</v>
      </c>
      <c r="S16" s="1771">
        <f>SUM(S17:S18)</f>
        <v>34594500</v>
      </c>
      <c r="T16" s="1770">
        <f>IF(Q16=0,0,R16/Q16)</f>
        <v>0.10164268785475372</v>
      </c>
      <c r="U16" s="1770">
        <f t="shared" ref="U16:U18" si="3">IF(R16=0,0,S16/R16)</f>
        <v>0.26789406850031466</v>
      </c>
      <c r="V16" s="75"/>
      <c r="W16" s="75"/>
      <c r="X16" s="75"/>
      <c r="Y16" s="75"/>
    </row>
    <row r="17" spans="1:25" s="761" customFormat="1" ht="52.8">
      <c r="A17" s="2993"/>
      <c r="B17" s="3159"/>
      <c r="C17" s="3159"/>
      <c r="D17" s="2995"/>
      <c r="E17" s="115" t="s">
        <v>2724</v>
      </c>
      <c r="F17" s="75"/>
      <c r="G17" s="95" t="s">
        <v>2721</v>
      </c>
      <c r="H17" s="74"/>
      <c r="I17" s="95" t="s">
        <v>2725</v>
      </c>
      <c r="J17" s="95" t="s">
        <v>2726</v>
      </c>
      <c r="K17" s="75">
        <v>1</v>
      </c>
      <c r="L17" s="1770">
        <v>0.6</v>
      </c>
      <c r="M17" s="281">
        <v>0</v>
      </c>
      <c r="N17" s="1768">
        <v>0</v>
      </c>
      <c r="O17" s="3160"/>
      <c r="P17" s="1769">
        <v>400000000</v>
      </c>
      <c r="Q17" s="1769">
        <v>400000000</v>
      </c>
      <c r="R17" s="1782">
        <v>0</v>
      </c>
      <c r="S17" s="1782">
        <v>0</v>
      </c>
      <c r="T17" s="1770">
        <f t="shared" ref="T17:T18" si="4">IF(Q17=0,0,R17/Q17)</f>
        <v>0</v>
      </c>
      <c r="U17" s="1770">
        <f t="shared" si="3"/>
        <v>0</v>
      </c>
      <c r="V17" s="1780"/>
      <c r="W17" s="1780"/>
      <c r="X17" s="75"/>
      <c r="Y17" s="2988" t="s">
        <v>2712</v>
      </c>
    </row>
    <row r="18" spans="1:25" s="761" customFormat="1" ht="79.2">
      <c r="A18" s="2993"/>
      <c r="B18" s="3159"/>
      <c r="C18" s="3159"/>
      <c r="D18" s="2995"/>
      <c r="E18" s="75" t="s">
        <v>2727</v>
      </c>
      <c r="F18" s="75"/>
      <c r="G18" s="75"/>
      <c r="H18" s="74"/>
      <c r="I18" s="95" t="s">
        <v>2728</v>
      </c>
      <c r="J18" s="95" t="s">
        <v>2715</v>
      </c>
      <c r="K18" s="75">
        <v>1</v>
      </c>
      <c r="L18" s="1770">
        <v>0.4</v>
      </c>
      <c r="M18" s="75">
        <v>0</v>
      </c>
      <c r="N18" s="1783">
        <v>0.107</v>
      </c>
      <c r="O18" s="3160"/>
      <c r="P18" s="1781">
        <v>870479960</v>
      </c>
      <c r="Q18" s="1781">
        <v>870479960</v>
      </c>
      <c r="R18" s="1784">
        <v>129134998</v>
      </c>
      <c r="S18" s="1784">
        <v>34594500</v>
      </c>
      <c r="T18" s="1770">
        <f t="shared" si="4"/>
        <v>0.14834919117494674</v>
      </c>
      <c r="U18" s="1770">
        <f t="shared" si="3"/>
        <v>0.26789406850031466</v>
      </c>
      <c r="V18" s="1780">
        <v>45320</v>
      </c>
      <c r="W18" s="1780">
        <v>45412</v>
      </c>
      <c r="X18" s="95" t="s">
        <v>2729</v>
      </c>
      <c r="Y18" s="2988"/>
    </row>
    <row r="19" spans="1:25">
      <c r="A19" s="91"/>
      <c r="B19" s="72">
        <v>52030050004</v>
      </c>
      <c r="C19" s="72" t="s">
        <v>117</v>
      </c>
      <c r="D19" s="73" t="s">
        <v>2730</v>
      </c>
      <c r="E19" s="91"/>
      <c r="F19" s="91"/>
      <c r="G19" s="91"/>
      <c r="H19" s="72"/>
      <c r="I19" s="91"/>
      <c r="J19" s="72"/>
      <c r="K19" s="91"/>
      <c r="L19" s="1753"/>
      <c r="M19" s="91"/>
      <c r="N19" s="1754"/>
      <c r="O19" s="91"/>
      <c r="P19" s="91"/>
      <c r="Q19" s="91"/>
      <c r="R19" s="72"/>
      <c r="S19" s="72"/>
      <c r="T19" s="91"/>
      <c r="U19" s="91"/>
      <c r="V19" s="91"/>
      <c r="W19" s="91"/>
      <c r="X19" s="91"/>
      <c r="Y19" s="91"/>
    </row>
    <row r="20" spans="1:25" s="761" customFormat="1" ht="13.2">
      <c r="A20" s="2993">
        <v>4147</v>
      </c>
      <c r="B20" s="2993"/>
      <c r="C20" s="2993" t="s">
        <v>502</v>
      </c>
      <c r="D20" s="2995" t="s">
        <v>2731</v>
      </c>
      <c r="E20" s="75" t="s">
        <v>2732</v>
      </c>
      <c r="F20" s="75"/>
      <c r="G20" s="75"/>
      <c r="H20" s="74"/>
      <c r="I20" s="75"/>
      <c r="J20" s="74"/>
      <c r="K20" s="75">
        <f>+K22</f>
        <v>160</v>
      </c>
      <c r="L20" s="77">
        <f>SUM(L21:L22)</f>
        <v>1</v>
      </c>
      <c r="M20" s="75"/>
      <c r="N20" s="1768">
        <f>SUM(N21:N22)</f>
        <v>1.9199999999999998E-2</v>
      </c>
      <c r="O20" s="3160">
        <f>+IF(Q20&gt;0,N20,"na")</f>
        <v>1.9199999999999998E-2</v>
      </c>
      <c r="P20" s="1769">
        <f>SUM(P21:P22)</f>
        <v>3244161786</v>
      </c>
      <c r="Q20" s="1769">
        <f>SUM(Q21:Q22)</f>
        <v>3244161786</v>
      </c>
      <c r="R20" s="1771">
        <f>SUM(R21:R22)</f>
        <v>245157500</v>
      </c>
      <c r="S20" s="1771">
        <f>SUM(S21:S22)</f>
        <v>44429500</v>
      </c>
      <c r="T20" s="1770">
        <f>IF(Q20=0,0,R20/Q20)</f>
        <v>7.5568826763808009E-2</v>
      </c>
      <c r="U20" s="1770">
        <f t="shared" ref="U20:U22" si="5">IF(R20=0,0,S20/R20)</f>
        <v>0.18122839399161764</v>
      </c>
      <c r="V20" s="75"/>
      <c r="W20" s="75"/>
      <c r="X20" s="75"/>
      <c r="Y20" s="75"/>
    </row>
    <row r="21" spans="1:25" s="761" customFormat="1" ht="66">
      <c r="A21" s="2993"/>
      <c r="B21" s="2993"/>
      <c r="C21" s="2993"/>
      <c r="D21" s="2995"/>
      <c r="E21" s="75" t="s">
        <v>2733</v>
      </c>
      <c r="F21" s="75"/>
      <c r="G21" s="75"/>
      <c r="H21" s="74"/>
      <c r="I21" s="95" t="s">
        <v>2734</v>
      </c>
      <c r="J21" s="95" t="s">
        <v>2735</v>
      </c>
      <c r="K21" s="75">
        <v>1000</v>
      </c>
      <c r="L21" s="1770">
        <v>0.48</v>
      </c>
      <c r="M21" s="75">
        <v>40</v>
      </c>
      <c r="N21" s="1783">
        <f>+M21*L21/K21</f>
        <v>1.9199999999999998E-2</v>
      </c>
      <c r="O21" s="3160"/>
      <c r="P21" s="1781">
        <v>1475704924</v>
      </c>
      <c r="Q21" s="1781">
        <v>1475704924</v>
      </c>
      <c r="R21" s="1784">
        <v>245157500</v>
      </c>
      <c r="S21" s="1784">
        <v>44429500</v>
      </c>
      <c r="T21" s="1770">
        <f t="shared" ref="T21:T22" si="6">IF(Q21=0,0,R21/Q21)</f>
        <v>0.16612907906784216</v>
      </c>
      <c r="U21" s="1770">
        <f t="shared" si="5"/>
        <v>0.18122839399161764</v>
      </c>
      <c r="V21" s="1780">
        <v>45316</v>
      </c>
      <c r="W21" s="1780">
        <v>45412</v>
      </c>
      <c r="X21" s="95" t="s">
        <v>2736</v>
      </c>
      <c r="Y21" s="2988" t="s">
        <v>2737</v>
      </c>
    </row>
    <row r="22" spans="1:25" s="761" customFormat="1" ht="52.8">
      <c r="A22" s="2993"/>
      <c r="B22" s="2993"/>
      <c r="C22" s="2993"/>
      <c r="D22" s="2995"/>
      <c r="E22" s="75" t="s">
        <v>2738</v>
      </c>
      <c r="F22" s="75"/>
      <c r="G22" s="95" t="s">
        <v>2730</v>
      </c>
      <c r="H22" s="74"/>
      <c r="I22" s="95" t="s">
        <v>2739</v>
      </c>
      <c r="J22" s="95" t="s">
        <v>2740</v>
      </c>
      <c r="K22" s="75">
        <v>160</v>
      </c>
      <c r="L22" s="1770">
        <v>0.52</v>
      </c>
      <c r="M22" s="75">
        <v>0</v>
      </c>
      <c r="N22" s="1783">
        <v>0</v>
      </c>
      <c r="O22" s="3160"/>
      <c r="P22" s="1781">
        <v>1768456862</v>
      </c>
      <c r="Q22" s="1781">
        <v>1768456862</v>
      </c>
      <c r="R22" s="1772">
        <v>0</v>
      </c>
      <c r="S22" s="1772">
        <v>0</v>
      </c>
      <c r="T22" s="1770">
        <f t="shared" si="6"/>
        <v>0</v>
      </c>
      <c r="U22" s="1770">
        <f t="shared" si="5"/>
        <v>0</v>
      </c>
      <c r="V22" s="1780"/>
      <c r="W22" s="1780"/>
      <c r="X22" s="75"/>
      <c r="Y22" s="2988"/>
    </row>
    <row r="23" spans="1:25" ht="14.4">
      <c r="A23" s="1767"/>
      <c r="B23" s="72">
        <v>52030050010</v>
      </c>
      <c r="C23" s="72" t="s">
        <v>117</v>
      </c>
      <c r="D23" s="73" t="s">
        <v>2741</v>
      </c>
      <c r="E23" s="91"/>
      <c r="F23" s="91"/>
      <c r="G23" s="91"/>
      <c r="H23" s="72"/>
      <c r="I23" s="91"/>
      <c r="J23" s="72"/>
      <c r="K23" s="91"/>
      <c r="L23" s="91"/>
      <c r="M23" s="91"/>
      <c r="N23" s="1754"/>
      <c r="O23" s="91"/>
      <c r="P23" s="91"/>
      <c r="Q23" s="91"/>
      <c r="R23" s="91"/>
      <c r="S23" s="91"/>
      <c r="T23" s="91"/>
      <c r="U23" s="91"/>
      <c r="V23" s="91"/>
      <c r="W23" s="91"/>
      <c r="X23" s="91"/>
      <c r="Y23" s="91"/>
    </row>
    <row r="24" spans="1:25" s="761" customFormat="1" ht="13.2">
      <c r="A24" s="2993">
        <v>4147</v>
      </c>
      <c r="B24" s="2993"/>
      <c r="C24" s="2993" t="s">
        <v>502</v>
      </c>
      <c r="D24" s="2995" t="s">
        <v>2742</v>
      </c>
      <c r="E24" s="75" t="s">
        <v>2743</v>
      </c>
      <c r="F24" s="75"/>
      <c r="G24" s="75"/>
      <c r="H24" s="74"/>
      <c r="I24" s="75"/>
      <c r="J24" s="74"/>
      <c r="K24" s="75">
        <f>+K26</f>
        <v>1</v>
      </c>
      <c r="L24" s="77">
        <f>SUM(L25:L26)</f>
        <v>1</v>
      </c>
      <c r="M24" s="75"/>
      <c r="N24" s="1768">
        <f>SUM(N25:N26)</f>
        <v>0.25</v>
      </c>
      <c r="O24" s="3160">
        <f>+IF(Q24&gt;0,N24,"na")</f>
        <v>0.25</v>
      </c>
      <c r="P24" s="1769">
        <f>SUM(P25:P26)</f>
        <v>133100000</v>
      </c>
      <c r="Q24" s="1769">
        <f>SUM(Q25:Q26)</f>
        <v>133100000</v>
      </c>
      <c r="R24" s="1769">
        <f>SUM(R25:R26)</f>
        <v>42560500</v>
      </c>
      <c r="S24" s="1769">
        <f>SUM(S25:S26)</f>
        <v>15930500</v>
      </c>
      <c r="T24" s="1770">
        <f>IF(Q24=0,0,R24/Q24)</f>
        <v>0.31976333583771599</v>
      </c>
      <c r="U24" s="1770">
        <f t="shared" ref="U24:U26" si="7">IF(R24=0,0,S24/R24)</f>
        <v>0.37430246355188496</v>
      </c>
      <c r="V24" s="75"/>
      <c r="W24" s="75"/>
      <c r="X24" s="75"/>
      <c r="Y24" s="75"/>
    </row>
    <row r="25" spans="1:25" s="761" customFormat="1" ht="105.6">
      <c r="A25" s="2993"/>
      <c r="B25" s="2993"/>
      <c r="C25" s="2993"/>
      <c r="D25" s="2995"/>
      <c r="E25" s="75" t="s">
        <v>2744</v>
      </c>
      <c r="F25" s="75"/>
      <c r="G25" s="95" t="s">
        <v>2741</v>
      </c>
      <c r="H25" s="74"/>
      <c r="I25" s="115" t="s">
        <v>2745</v>
      </c>
      <c r="J25" s="115" t="s">
        <v>136</v>
      </c>
      <c r="K25" s="75">
        <v>1</v>
      </c>
      <c r="L25" s="1770">
        <v>0.7</v>
      </c>
      <c r="M25" s="75">
        <v>0</v>
      </c>
      <c r="N25" s="1783">
        <v>0.18</v>
      </c>
      <c r="O25" s="3160"/>
      <c r="P25" s="1781">
        <v>46700000</v>
      </c>
      <c r="Q25" s="1781">
        <v>46700000</v>
      </c>
      <c r="R25" s="1781">
        <v>18308500</v>
      </c>
      <c r="S25" s="1781">
        <v>7846500</v>
      </c>
      <c r="T25" s="1770">
        <f>IF(Q25=0,0,R25/Q25)</f>
        <v>0.39204496788008564</v>
      </c>
      <c r="U25" s="1770">
        <f t="shared" si="7"/>
        <v>0.42857142857142855</v>
      </c>
      <c r="V25" s="1780">
        <v>45337</v>
      </c>
      <c r="W25" s="1780">
        <v>45412</v>
      </c>
      <c r="X25" s="95" t="s">
        <v>2746</v>
      </c>
      <c r="Y25" s="2988" t="s">
        <v>2737</v>
      </c>
    </row>
    <row r="26" spans="1:25" s="761" customFormat="1" ht="105.6">
      <c r="A26" s="2993"/>
      <c r="B26" s="2993"/>
      <c r="C26" s="2993"/>
      <c r="D26" s="2995"/>
      <c r="E26" s="75" t="s">
        <v>2747</v>
      </c>
      <c r="F26" s="75"/>
      <c r="G26" s="75"/>
      <c r="H26" s="74"/>
      <c r="I26" s="115" t="s">
        <v>2748</v>
      </c>
      <c r="J26" s="115" t="s">
        <v>138</v>
      </c>
      <c r="K26" s="75">
        <v>1</v>
      </c>
      <c r="L26" s="1770">
        <v>0.3</v>
      </c>
      <c r="M26" s="75">
        <v>0</v>
      </c>
      <c r="N26" s="1783">
        <v>7.0000000000000007E-2</v>
      </c>
      <c r="O26" s="3160"/>
      <c r="P26" s="1781">
        <v>86400000</v>
      </c>
      <c r="Q26" s="1781">
        <v>86400000</v>
      </c>
      <c r="R26" s="1781">
        <v>24252000</v>
      </c>
      <c r="S26" s="1781">
        <v>8084000</v>
      </c>
      <c r="T26" s="1770">
        <f>IF(Q26=0,0,R26/Q26)</f>
        <v>0.28069444444444447</v>
      </c>
      <c r="U26" s="1770">
        <f t="shared" si="7"/>
        <v>0.33333333333333331</v>
      </c>
      <c r="V26" s="1780">
        <v>45337</v>
      </c>
      <c r="W26" s="1780">
        <v>45412</v>
      </c>
      <c r="X26" s="95" t="s">
        <v>2749</v>
      </c>
      <c r="Y26" s="2988"/>
    </row>
    <row r="27" spans="1:25">
      <c r="A27" s="89"/>
      <c r="B27" s="120">
        <v>5203006</v>
      </c>
      <c r="C27" s="120" t="s">
        <v>116</v>
      </c>
      <c r="D27" s="96" t="s">
        <v>2750</v>
      </c>
      <c r="E27" s="89"/>
      <c r="F27" s="89"/>
      <c r="G27" s="89"/>
      <c r="H27" s="97"/>
      <c r="I27" s="89"/>
      <c r="J27" s="97"/>
      <c r="K27" s="89"/>
      <c r="L27" s="89"/>
      <c r="M27" s="89"/>
      <c r="N27" s="1773"/>
      <c r="O27" s="89"/>
      <c r="P27" s="89"/>
      <c r="Q27" s="89"/>
      <c r="R27" s="89"/>
      <c r="S27" s="89"/>
      <c r="T27" s="89"/>
      <c r="U27" s="89"/>
      <c r="V27" s="89"/>
      <c r="W27" s="89"/>
      <c r="X27" s="89"/>
      <c r="Y27" s="89"/>
    </row>
    <row r="28" spans="1:25" ht="27.6">
      <c r="A28" s="1767"/>
      <c r="B28" s="117">
        <v>52030060003</v>
      </c>
      <c r="C28" s="117" t="s">
        <v>117</v>
      </c>
      <c r="D28" s="73" t="s">
        <v>2751</v>
      </c>
      <c r="E28" s="91"/>
      <c r="F28" s="91"/>
      <c r="G28" s="91"/>
      <c r="H28" s="72"/>
      <c r="I28" s="91"/>
      <c r="J28" s="72"/>
      <c r="K28" s="91"/>
      <c r="L28" s="91"/>
      <c r="M28" s="91"/>
      <c r="N28" s="1754"/>
      <c r="O28" s="91"/>
      <c r="P28" s="91"/>
      <c r="Q28" s="91"/>
      <c r="R28" s="1752"/>
      <c r="S28" s="91"/>
      <c r="T28" s="91"/>
      <c r="U28" s="91"/>
      <c r="V28" s="91"/>
      <c r="W28" s="91"/>
      <c r="X28" s="91"/>
      <c r="Y28" s="91"/>
    </row>
    <row r="29" spans="1:25" s="761" customFormat="1" ht="13.2">
      <c r="A29" s="2993">
        <v>4147</v>
      </c>
      <c r="B29" s="2993"/>
      <c r="C29" s="2993" t="s">
        <v>502</v>
      </c>
      <c r="D29" s="2995" t="s">
        <v>2752</v>
      </c>
      <c r="E29" s="75" t="s">
        <v>2753</v>
      </c>
      <c r="F29" s="75"/>
      <c r="G29" s="75"/>
      <c r="H29" s="74"/>
      <c r="I29" s="75"/>
      <c r="J29" s="74"/>
      <c r="K29" s="75">
        <f>+K32</f>
        <v>3</v>
      </c>
      <c r="L29" s="77">
        <f>SUM(L30:L32)</f>
        <v>1</v>
      </c>
      <c r="M29" s="75"/>
      <c r="N29" s="1768">
        <f>SUM(N30:N32)</f>
        <v>0</v>
      </c>
      <c r="O29" s="3160">
        <f>+IF(Q29&gt;0,N29,"na")</f>
        <v>0</v>
      </c>
      <c r="P29" s="1769">
        <f>SUM(P30:P32)</f>
        <v>447515508</v>
      </c>
      <c r="Q29" s="1769">
        <f t="shared" ref="Q29:S29" si="8">SUM(Q30:Q32)</f>
        <v>447515508</v>
      </c>
      <c r="R29" s="1772">
        <f t="shared" si="8"/>
        <v>0</v>
      </c>
      <c r="S29" s="1772">
        <f t="shared" si="8"/>
        <v>0</v>
      </c>
      <c r="T29" s="1770">
        <f>IF(Q29=0,0,R29/Q29)</f>
        <v>0</v>
      </c>
      <c r="U29" s="1770">
        <f t="shared" ref="U29:U35" si="9">IF(R29=0,0,S29/R29)</f>
        <v>0</v>
      </c>
      <c r="V29" s="75"/>
      <c r="W29" s="75"/>
      <c r="X29" s="75"/>
      <c r="Y29" s="75"/>
    </row>
    <row r="30" spans="1:25" s="761" customFormat="1" ht="66">
      <c r="A30" s="2993"/>
      <c r="B30" s="2993"/>
      <c r="C30" s="2993"/>
      <c r="D30" s="2995"/>
      <c r="E30" s="75" t="s">
        <v>2754</v>
      </c>
      <c r="F30" s="75"/>
      <c r="G30" s="75"/>
      <c r="H30" s="74"/>
      <c r="I30" s="115" t="s">
        <v>2755</v>
      </c>
      <c r="J30" s="115" t="s">
        <v>2756</v>
      </c>
      <c r="K30" s="75">
        <v>1</v>
      </c>
      <c r="L30" s="1770">
        <v>0.3</v>
      </c>
      <c r="M30" s="75">
        <v>0</v>
      </c>
      <c r="N30" s="1768">
        <v>0</v>
      </c>
      <c r="O30" s="3160"/>
      <c r="P30" s="1769">
        <v>190269624</v>
      </c>
      <c r="Q30" s="1769">
        <v>190269624</v>
      </c>
      <c r="R30" s="1772">
        <v>0</v>
      </c>
      <c r="S30" s="1772">
        <v>0</v>
      </c>
      <c r="T30" s="1770">
        <f t="shared" ref="T30:T32" si="10">IF(Q30=0,0,R30/Q30)</f>
        <v>0</v>
      </c>
      <c r="U30" s="1770">
        <f t="shared" si="9"/>
        <v>0</v>
      </c>
      <c r="V30" s="1780"/>
      <c r="W30" s="1780"/>
      <c r="X30" s="75"/>
      <c r="Y30" s="2988" t="s">
        <v>2737</v>
      </c>
    </row>
    <row r="31" spans="1:25" s="761" customFormat="1" ht="92.4">
      <c r="A31" s="2993"/>
      <c r="B31" s="2993"/>
      <c r="C31" s="2993"/>
      <c r="D31" s="2995"/>
      <c r="E31" s="75" t="s">
        <v>2757</v>
      </c>
      <c r="F31" s="75"/>
      <c r="G31" s="75"/>
      <c r="H31" s="74"/>
      <c r="I31" s="115" t="s">
        <v>2758</v>
      </c>
      <c r="J31" s="115" t="s">
        <v>2756</v>
      </c>
      <c r="K31" s="75">
        <v>1</v>
      </c>
      <c r="L31" s="1770">
        <v>0.3</v>
      </c>
      <c r="M31" s="75">
        <v>0</v>
      </c>
      <c r="N31" s="1768">
        <v>0</v>
      </c>
      <c r="O31" s="3160"/>
      <c r="P31" s="1781">
        <v>148904256</v>
      </c>
      <c r="Q31" s="1781">
        <v>148904256</v>
      </c>
      <c r="R31" s="1772">
        <v>0</v>
      </c>
      <c r="S31" s="1772">
        <v>0</v>
      </c>
      <c r="T31" s="1770">
        <f t="shared" si="10"/>
        <v>0</v>
      </c>
      <c r="U31" s="1770">
        <f t="shared" si="9"/>
        <v>0</v>
      </c>
      <c r="V31" s="1780"/>
      <c r="W31" s="1780"/>
      <c r="X31" s="75"/>
      <c r="Y31" s="2988"/>
    </row>
    <row r="32" spans="1:25" s="761" customFormat="1" ht="79.2">
      <c r="A32" s="2993"/>
      <c r="B32" s="2993"/>
      <c r="C32" s="2993"/>
      <c r="D32" s="2995"/>
      <c r="E32" s="75" t="s">
        <v>2759</v>
      </c>
      <c r="F32" s="75"/>
      <c r="G32" s="95" t="s">
        <v>2751</v>
      </c>
      <c r="H32" s="74"/>
      <c r="I32" s="115" t="s">
        <v>2760</v>
      </c>
      <c r="J32" s="115" t="s">
        <v>2761</v>
      </c>
      <c r="K32" s="75">
        <v>3</v>
      </c>
      <c r="L32" s="1770">
        <v>0.4</v>
      </c>
      <c r="M32" s="75">
        <v>0</v>
      </c>
      <c r="N32" s="1768">
        <v>0</v>
      </c>
      <c r="O32" s="3160"/>
      <c r="P32" s="1769">
        <v>108341628</v>
      </c>
      <c r="Q32" s="1769">
        <v>108341628</v>
      </c>
      <c r="R32" s="1772">
        <v>0</v>
      </c>
      <c r="S32" s="1772">
        <v>0</v>
      </c>
      <c r="T32" s="1770">
        <f t="shared" si="10"/>
        <v>0</v>
      </c>
      <c r="U32" s="1770">
        <f t="shared" si="9"/>
        <v>0</v>
      </c>
      <c r="V32" s="1780"/>
      <c r="W32" s="1780"/>
      <c r="X32" s="75"/>
      <c r="Y32" s="2988"/>
    </row>
    <row r="33" spans="1:25" s="761" customFormat="1" ht="13.2">
      <c r="A33" s="2993">
        <v>4147</v>
      </c>
      <c r="B33" s="2993"/>
      <c r="C33" s="2993" t="s">
        <v>502</v>
      </c>
      <c r="D33" s="2995" t="s">
        <v>2762</v>
      </c>
      <c r="E33" s="75" t="s">
        <v>2763</v>
      </c>
      <c r="F33" s="75"/>
      <c r="G33" s="75"/>
      <c r="H33" s="74"/>
      <c r="I33" s="75"/>
      <c r="J33" s="74"/>
      <c r="K33" s="75">
        <f>+K34</f>
        <v>3</v>
      </c>
      <c r="L33" s="77">
        <f>SUM(L34:L35)</f>
        <v>1</v>
      </c>
      <c r="M33" s="75"/>
      <c r="N33" s="1768">
        <f>SUM(N34:N35)</f>
        <v>0.13</v>
      </c>
      <c r="O33" s="3160">
        <f>+IF(Q33&gt;0,N33,"na")</f>
        <v>0.13</v>
      </c>
      <c r="P33" s="1769">
        <f>SUM(P34:P35)</f>
        <v>19283782869</v>
      </c>
      <c r="Q33" s="1769">
        <f>SUM(Q34:Q35)</f>
        <v>22283782869</v>
      </c>
      <c r="R33" s="1769">
        <f>SUM(R34:R35)</f>
        <v>632830302</v>
      </c>
      <c r="S33" s="1769">
        <f>SUM(S34:S35)</f>
        <v>75279000</v>
      </c>
      <c r="T33" s="1770">
        <f>IF(Q33=0,0,R33/Q33)</f>
        <v>2.8398692704924865E-2</v>
      </c>
      <c r="U33" s="1770">
        <f t="shared" si="9"/>
        <v>0.11895606098836904</v>
      </c>
      <c r="V33" s="75"/>
      <c r="W33" s="75"/>
      <c r="X33" s="75"/>
      <c r="Y33" s="75"/>
    </row>
    <row r="34" spans="1:25" s="761" customFormat="1" ht="79.2">
      <c r="A34" s="2993"/>
      <c r="B34" s="2993"/>
      <c r="C34" s="2993"/>
      <c r="D34" s="2995"/>
      <c r="E34" s="75" t="s">
        <v>2764</v>
      </c>
      <c r="F34" s="75"/>
      <c r="G34" s="95" t="s">
        <v>2751</v>
      </c>
      <c r="H34" s="74"/>
      <c r="I34" s="115" t="s">
        <v>2765</v>
      </c>
      <c r="J34" s="115" t="s">
        <v>207</v>
      </c>
      <c r="K34" s="75">
        <v>3</v>
      </c>
      <c r="L34" s="1770">
        <v>0.5</v>
      </c>
      <c r="M34" s="75">
        <v>0</v>
      </c>
      <c r="N34" s="1783">
        <v>0.13</v>
      </c>
      <c r="O34" s="3160"/>
      <c r="P34" s="1781">
        <v>1583782869</v>
      </c>
      <c r="Q34" s="1781">
        <v>1583782869</v>
      </c>
      <c r="R34" s="1781">
        <v>304138000</v>
      </c>
      <c r="S34" s="1781">
        <v>75279000</v>
      </c>
      <c r="T34" s="1770">
        <f t="shared" ref="T34:T35" si="11">IF(Q34=0,0,R34/Q34)</f>
        <v>0.19203263651414076</v>
      </c>
      <c r="U34" s="1770">
        <f t="shared" si="9"/>
        <v>0.24751593026849653</v>
      </c>
      <c r="V34" s="1780">
        <v>45321</v>
      </c>
      <c r="W34" s="1780">
        <v>45412</v>
      </c>
      <c r="X34" s="95" t="s">
        <v>2766</v>
      </c>
      <c r="Y34" s="2988" t="s">
        <v>2737</v>
      </c>
    </row>
    <row r="35" spans="1:25" s="761" customFormat="1" ht="52.8">
      <c r="A35" s="2993"/>
      <c r="B35" s="2993"/>
      <c r="C35" s="2993"/>
      <c r="D35" s="2995"/>
      <c r="E35" s="75" t="s">
        <v>2767</v>
      </c>
      <c r="F35" s="75"/>
      <c r="G35" s="75"/>
      <c r="H35" s="74"/>
      <c r="I35" s="115" t="s">
        <v>2768</v>
      </c>
      <c r="J35" s="115" t="s">
        <v>2769</v>
      </c>
      <c r="K35" s="1769">
        <v>30000</v>
      </c>
      <c r="L35" s="1770">
        <v>0.5</v>
      </c>
      <c r="M35" s="75">
        <v>0</v>
      </c>
      <c r="N35" s="1768">
        <v>0</v>
      </c>
      <c r="O35" s="3160"/>
      <c r="P35" s="1769">
        <v>17700000000</v>
      </c>
      <c r="Q35" s="1781">
        <v>20700000000</v>
      </c>
      <c r="R35" s="1781">
        <v>328692302</v>
      </c>
      <c r="S35" s="1772">
        <v>0</v>
      </c>
      <c r="T35" s="1770">
        <f t="shared" si="11"/>
        <v>1.5878855169082124E-2</v>
      </c>
      <c r="U35" s="1770">
        <f t="shared" si="9"/>
        <v>0</v>
      </c>
      <c r="V35" s="1780">
        <v>45374</v>
      </c>
      <c r="W35" s="1780">
        <v>45382</v>
      </c>
      <c r="X35" s="95" t="s">
        <v>2770</v>
      </c>
      <c r="Y35" s="2988"/>
    </row>
    <row r="36" spans="1:25" s="420" customFormat="1" ht="15.6">
      <c r="A36" s="84"/>
      <c r="B36" s="85">
        <v>53</v>
      </c>
      <c r="C36" s="85" t="s">
        <v>114</v>
      </c>
      <c r="D36" s="1777" t="s">
        <v>189</v>
      </c>
      <c r="E36" s="84"/>
      <c r="F36" s="84"/>
      <c r="G36" s="84"/>
      <c r="H36" s="85"/>
      <c r="I36" s="84"/>
      <c r="J36" s="85"/>
      <c r="K36" s="84"/>
      <c r="L36" s="84"/>
      <c r="M36" s="84"/>
      <c r="N36" s="1776"/>
      <c r="O36" s="84"/>
      <c r="P36" s="84"/>
      <c r="Q36" s="84"/>
      <c r="R36" s="84"/>
      <c r="S36" s="84"/>
      <c r="T36" s="84"/>
      <c r="U36" s="84"/>
      <c r="V36" s="84"/>
      <c r="W36" s="84"/>
      <c r="X36" s="84"/>
      <c r="Y36" s="84"/>
    </row>
    <row r="37" spans="1:25" s="420" customFormat="1" ht="15.6">
      <c r="A37" s="84"/>
      <c r="B37" s="85">
        <v>5305</v>
      </c>
      <c r="C37" s="85" t="s">
        <v>115</v>
      </c>
      <c r="D37" s="88" t="s">
        <v>1103</v>
      </c>
      <c r="E37" s="84"/>
      <c r="F37" s="84"/>
      <c r="G37" s="84"/>
      <c r="H37" s="85"/>
      <c r="I37" s="84"/>
      <c r="J37" s="85"/>
      <c r="K37" s="84"/>
      <c r="L37" s="84"/>
      <c r="M37" s="84"/>
      <c r="N37" s="1776"/>
      <c r="O37" s="84"/>
      <c r="P37" s="84"/>
      <c r="Q37" s="84"/>
      <c r="R37" s="84"/>
      <c r="S37" s="84"/>
      <c r="T37" s="84"/>
      <c r="U37" s="84"/>
      <c r="V37" s="84"/>
      <c r="W37" s="84"/>
      <c r="X37" s="84"/>
      <c r="Y37" s="84"/>
    </row>
    <row r="38" spans="1:25">
      <c r="A38" s="89"/>
      <c r="B38" s="97">
        <v>5305002</v>
      </c>
      <c r="C38" s="97" t="s">
        <v>116</v>
      </c>
      <c r="D38" s="96" t="s">
        <v>2771</v>
      </c>
      <c r="E38" s="89"/>
      <c r="F38" s="89"/>
      <c r="G38" s="89"/>
      <c r="H38" s="97"/>
      <c r="I38" s="89"/>
      <c r="J38" s="97"/>
      <c r="K38" s="89"/>
      <c r="L38" s="89"/>
      <c r="M38" s="89"/>
      <c r="N38" s="1773"/>
      <c r="O38" s="89"/>
      <c r="P38" s="89"/>
      <c r="Q38" s="89"/>
      <c r="R38" s="89"/>
      <c r="S38" s="89"/>
      <c r="T38" s="89"/>
      <c r="U38" s="89"/>
      <c r="V38" s="89"/>
      <c r="W38" s="89"/>
      <c r="X38" s="89"/>
      <c r="Y38" s="89"/>
    </row>
    <row r="39" spans="1:25" ht="27.6">
      <c r="A39" s="91"/>
      <c r="B39" s="72">
        <v>53050020002</v>
      </c>
      <c r="C39" s="72" t="s">
        <v>117</v>
      </c>
      <c r="D39" s="73" t="s">
        <v>2772</v>
      </c>
      <c r="E39" s="91"/>
      <c r="F39" s="91"/>
      <c r="G39" s="91"/>
      <c r="H39" s="72"/>
      <c r="I39" s="91"/>
      <c r="J39" s="72"/>
      <c r="K39" s="91"/>
      <c r="L39" s="91"/>
      <c r="M39" s="91"/>
      <c r="N39" s="1754"/>
      <c r="O39" s="91"/>
      <c r="P39" s="91"/>
      <c r="Q39" s="91"/>
      <c r="R39" s="91"/>
      <c r="S39" s="91"/>
      <c r="T39" s="91"/>
      <c r="U39" s="91"/>
      <c r="V39" s="91"/>
      <c r="W39" s="91"/>
      <c r="X39" s="91"/>
      <c r="Y39" s="91"/>
    </row>
    <row r="40" spans="1:25" s="761" customFormat="1" ht="13.2">
      <c r="A40" s="2993">
        <v>4147</v>
      </c>
      <c r="B40" s="2993"/>
      <c r="C40" s="2993" t="s">
        <v>502</v>
      </c>
      <c r="D40" s="2995" t="s">
        <v>2773</v>
      </c>
      <c r="E40" s="75" t="s">
        <v>2774</v>
      </c>
      <c r="F40" s="75"/>
      <c r="G40" s="75"/>
      <c r="H40" s="74"/>
      <c r="I40" s="75"/>
      <c r="J40" s="74"/>
      <c r="K40" s="75">
        <f>+K42</f>
        <v>219</v>
      </c>
      <c r="L40" s="77">
        <f>SUM(L41:L42)</f>
        <v>1</v>
      </c>
      <c r="M40" s="75"/>
      <c r="N40" s="1768">
        <f>SUM(N41:N42)</f>
        <v>0.12</v>
      </c>
      <c r="O40" s="3160">
        <f>+IF(Q40&gt;0,N40,"na")</f>
        <v>0.12</v>
      </c>
      <c r="P40" s="1769">
        <f>SUM(P41:P42)</f>
        <v>919225200</v>
      </c>
      <c r="Q40" s="1769">
        <f>SUM(Q41:Q42)</f>
        <v>919225200</v>
      </c>
      <c r="R40" s="1769">
        <f>SUM(R41:R42)</f>
        <v>843479000</v>
      </c>
      <c r="S40" s="1769">
        <f>SUM(S41:S42)</f>
        <v>7737000</v>
      </c>
      <c r="T40" s="1770">
        <f>IF(Q40=0,0,R40/Q40)</f>
        <v>0.91759777691038058</v>
      </c>
      <c r="U40" s="1770">
        <f t="shared" ref="U40:U42" si="12">IF(R40=0,0,S40/R40)</f>
        <v>9.172723920808935E-3</v>
      </c>
      <c r="V40" s="75"/>
      <c r="W40" s="75"/>
      <c r="X40" s="75"/>
      <c r="Y40" s="75"/>
    </row>
    <row r="41" spans="1:25" s="761" customFormat="1" ht="132">
      <c r="A41" s="2993"/>
      <c r="B41" s="2993"/>
      <c r="C41" s="2993"/>
      <c r="D41" s="2995"/>
      <c r="E41" s="75" t="s">
        <v>2775</v>
      </c>
      <c r="F41" s="75"/>
      <c r="G41" s="75"/>
      <c r="H41" s="74"/>
      <c r="I41" s="95" t="s">
        <v>2776</v>
      </c>
      <c r="J41" s="115" t="s">
        <v>2777</v>
      </c>
      <c r="K41" s="75">
        <v>1</v>
      </c>
      <c r="L41" s="1770">
        <v>0.4</v>
      </c>
      <c r="M41" s="75">
        <v>0</v>
      </c>
      <c r="N41" s="1783">
        <v>0.06</v>
      </c>
      <c r="O41" s="3160"/>
      <c r="P41" s="1781">
        <v>93769200</v>
      </c>
      <c r="Q41" s="1781">
        <v>93769200</v>
      </c>
      <c r="R41" s="1781">
        <v>18053000</v>
      </c>
      <c r="S41" s="1781">
        <v>7737000</v>
      </c>
      <c r="T41" s="1770">
        <f t="shared" ref="T41:T42" si="13">IF(Q41=0,0,R41/Q41)</f>
        <v>0.19252590402818837</v>
      </c>
      <c r="U41" s="1770">
        <f t="shared" si="12"/>
        <v>0.42857142857142855</v>
      </c>
      <c r="V41" s="1780">
        <v>45339</v>
      </c>
      <c r="W41" s="1780">
        <v>45412</v>
      </c>
      <c r="X41" s="95" t="s">
        <v>2778</v>
      </c>
      <c r="Y41" s="2988" t="s">
        <v>2712</v>
      </c>
    </row>
    <row r="42" spans="1:25" s="761" customFormat="1" ht="105.6">
      <c r="A42" s="2993"/>
      <c r="B42" s="2993"/>
      <c r="C42" s="2993"/>
      <c r="D42" s="2995"/>
      <c r="E42" s="75" t="s">
        <v>2779</v>
      </c>
      <c r="F42" s="75"/>
      <c r="G42" s="95" t="s">
        <v>2772</v>
      </c>
      <c r="H42" s="74"/>
      <c r="I42" s="95" t="s">
        <v>2780</v>
      </c>
      <c r="J42" s="115" t="s">
        <v>2781</v>
      </c>
      <c r="K42" s="75">
        <v>219</v>
      </c>
      <c r="L42" s="1770">
        <v>0.6</v>
      </c>
      <c r="M42" s="75">
        <v>0</v>
      </c>
      <c r="N42" s="1783">
        <v>0.06</v>
      </c>
      <c r="O42" s="3160"/>
      <c r="P42" s="1769">
        <v>825456000</v>
      </c>
      <c r="Q42" s="1769">
        <v>825456000</v>
      </c>
      <c r="R42" s="1769">
        <v>825426000</v>
      </c>
      <c r="S42" s="1772">
        <v>0</v>
      </c>
      <c r="T42" s="1770">
        <f t="shared" si="13"/>
        <v>0.99996365645170671</v>
      </c>
      <c r="U42" s="1770">
        <f t="shared" si="12"/>
        <v>0</v>
      </c>
      <c r="V42" s="1780">
        <v>45351</v>
      </c>
      <c r="W42" s="1780">
        <v>45473</v>
      </c>
      <c r="X42" s="95" t="s">
        <v>2720</v>
      </c>
      <c r="Y42" s="2988"/>
    </row>
    <row r="43" spans="1:25" ht="27.6">
      <c r="A43" s="91"/>
      <c r="B43" s="72">
        <v>53050020007</v>
      </c>
      <c r="C43" s="72" t="s">
        <v>117</v>
      </c>
      <c r="D43" s="73" t="s">
        <v>2782</v>
      </c>
      <c r="E43" s="91"/>
      <c r="F43" s="91"/>
      <c r="G43" s="91"/>
      <c r="H43" s="72"/>
      <c r="I43" s="91"/>
      <c r="J43" s="72"/>
      <c r="K43" s="91"/>
      <c r="L43" s="91"/>
      <c r="M43" s="91"/>
      <c r="N43" s="1754"/>
      <c r="O43" s="91"/>
      <c r="P43" s="91"/>
      <c r="Q43" s="91"/>
      <c r="R43" s="91"/>
      <c r="S43" s="91"/>
      <c r="T43" s="91"/>
      <c r="U43" s="91"/>
      <c r="V43" s="91"/>
      <c r="W43" s="91"/>
      <c r="X43" s="91"/>
      <c r="Y43" s="91"/>
    </row>
    <row r="44" spans="1:25" s="761" customFormat="1" ht="13.2">
      <c r="A44" s="2993">
        <v>4147</v>
      </c>
      <c r="B44" s="2993"/>
      <c r="C44" s="2993" t="s">
        <v>502</v>
      </c>
      <c r="D44" s="2995" t="s">
        <v>2783</v>
      </c>
      <c r="E44" s="75" t="s">
        <v>2784</v>
      </c>
      <c r="F44" s="75"/>
      <c r="G44" s="75"/>
      <c r="H44" s="74"/>
      <c r="I44" s="75"/>
      <c r="J44" s="74"/>
      <c r="K44" s="75">
        <f>+K45</f>
        <v>600</v>
      </c>
      <c r="L44" s="77">
        <f>SUM(L45:L46)</f>
        <v>1</v>
      </c>
      <c r="M44" s="75"/>
      <c r="N44" s="1768">
        <f>SUM(N45:N46)</f>
        <v>0.1</v>
      </c>
      <c r="O44" s="3160">
        <f>+IF(Q44&gt;0,N44,"na")</f>
        <v>0.1</v>
      </c>
      <c r="P44" s="1769">
        <f>SUM(P45:P46)</f>
        <v>1233100000</v>
      </c>
      <c r="Q44" s="1769">
        <f>SUM(Q45:Q46)</f>
        <v>1233100000</v>
      </c>
      <c r="R44" s="1769">
        <f>SUM(R45:R46)</f>
        <v>94337500</v>
      </c>
      <c r="S44" s="1769">
        <f>SUM(S45:S46)</f>
        <v>14458000</v>
      </c>
      <c r="T44" s="1770">
        <f>IF(Q44=0,0,R44/Q44)</f>
        <v>7.6504338658665155E-2</v>
      </c>
      <c r="U44" s="1770">
        <f t="shared" ref="U44:U46" si="14">IF(R44=0,0,S44/R44)</f>
        <v>0.15325824831058699</v>
      </c>
      <c r="V44" s="75"/>
      <c r="W44" s="75"/>
      <c r="X44" s="75"/>
      <c r="Y44" s="75"/>
    </row>
    <row r="45" spans="1:25" s="761" customFormat="1" ht="92.4">
      <c r="A45" s="2993"/>
      <c r="B45" s="2993"/>
      <c r="C45" s="2993"/>
      <c r="D45" s="2995"/>
      <c r="E45" s="75" t="s">
        <v>2785</v>
      </c>
      <c r="F45" s="75"/>
      <c r="G45" s="95" t="s">
        <v>2782</v>
      </c>
      <c r="H45" s="74"/>
      <c r="I45" s="95" t="s">
        <v>2786</v>
      </c>
      <c r="J45" s="115" t="s">
        <v>792</v>
      </c>
      <c r="K45" s="75">
        <v>600</v>
      </c>
      <c r="L45" s="1770">
        <v>0.9</v>
      </c>
      <c r="M45" s="75">
        <v>0</v>
      </c>
      <c r="N45" s="1783">
        <v>0.1</v>
      </c>
      <c r="O45" s="3160"/>
      <c r="P45" s="1769">
        <v>993099905</v>
      </c>
      <c r="Q45" s="1769">
        <v>993099905</v>
      </c>
      <c r="R45" s="1769">
        <v>94337500</v>
      </c>
      <c r="S45" s="1769">
        <v>14458000</v>
      </c>
      <c r="T45" s="1770">
        <f t="shared" ref="T45:T46" si="15">IF(Q45=0,0,R45/Q45)</f>
        <v>9.4992960451446215E-2</v>
      </c>
      <c r="U45" s="1770">
        <f t="shared" si="14"/>
        <v>0.15325824831058699</v>
      </c>
      <c r="V45" s="1780">
        <v>45340</v>
      </c>
      <c r="W45" s="1780">
        <v>45412</v>
      </c>
      <c r="X45" s="95" t="s">
        <v>2787</v>
      </c>
      <c r="Y45" s="2988" t="s">
        <v>2737</v>
      </c>
    </row>
    <row r="46" spans="1:25" s="761" customFormat="1" ht="39.6">
      <c r="A46" s="2993"/>
      <c r="B46" s="2993"/>
      <c r="C46" s="2993"/>
      <c r="D46" s="2995"/>
      <c r="E46" s="75" t="s">
        <v>2788</v>
      </c>
      <c r="F46" s="75"/>
      <c r="G46" s="75"/>
      <c r="H46" s="74"/>
      <c r="I46" s="95" t="s">
        <v>2789</v>
      </c>
      <c r="J46" s="115" t="s">
        <v>2790</v>
      </c>
      <c r="K46" s="75">
        <v>1</v>
      </c>
      <c r="L46" s="1770">
        <v>0.1</v>
      </c>
      <c r="M46" s="75">
        <v>0</v>
      </c>
      <c r="N46" s="1783">
        <v>0</v>
      </c>
      <c r="O46" s="3160"/>
      <c r="P46" s="1769">
        <v>240000095</v>
      </c>
      <c r="Q46" s="1769">
        <v>240000095</v>
      </c>
      <c r="R46" s="1772">
        <v>0</v>
      </c>
      <c r="S46" s="1772">
        <v>0</v>
      </c>
      <c r="T46" s="1770">
        <f t="shared" si="15"/>
        <v>0</v>
      </c>
      <c r="U46" s="1770">
        <f t="shared" si="14"/>
        <v>0</v>
      </c>
      <c r="V46" s="1780"/>
      <c r="W46" s="1780"/>
      <c r="X46" s="75"/>
      <c r="Y46" s="2988"/>
    </row>
    <row r="47" spans="1:25" ht="27.6">
      <c r="A47" s="91"/>
      <c r="B47" s="72">
        <v>53050020013</v>
      </c>
      <c r="C47" s="72" t="s">
        <v>117</v>
      </c>
      <c r="D47" s="73" t="s">
        <v>2791</v>
      </c>
      <c r="E47" s="91"/>
      <c r="F47" s="91"/>
      <c r="G47" s="91"/>
      <c r="H47" s="72"/>
      <c r="I47" s="91"/>
      <c r="J47" s="72"/>
      <c r="K47" s="91"/>
      <c r="L47" s="91"/>
      <c r="M47" s="91"/>
      <c r="N47" s="1754"/>
      <c r="O47" s="91"/>
      <c r="P47" s="91"/>
      <c r="Q47" s="91"/>
      <c r="R47" s="91"/>
      <c r="S47" s="91"/>
      <c r="T47" s="91"/>
      <c r="U47" s="91"/>
      <c r="V47" s="91"/>
      <c r="W47" s="91"/>
      <c r="X47" s="91"/>
      <c r="Y47" s="91"/>
    </row>
    <row r="48" spans="1:25" s="761" customFormat="1" ht="13.2">
      <c r="A48" s="2993">
        <v>4147</v>
      </c>
      <c r="B48" s="2993"/>
      <c r="C48" s="2993" t="s">
        <v>502</v>
      </c>
      <c r="D48" s="2995" t="s">
        <v>2792</v>
      </c>
      <c r="E48" s="75" t="s">
        <v>2793</v>
      </c>
      <c r="F48" s="75"/>
      <c r="G48" s="75"/>
      <c r="H48" s="74"/>
      <c r="I48" s="75"/>
      <c r="J48" s="74"/>
      <c r="K48" s="75">
        <f>+K50</f>
        <v>1</v>
      </c>
      <c r="L48" s="77">
        <f>SUM(L49:L50)</f>
        <v>1</v>
      </c>
      <c r="M48" s="75"/>
      <c r="N48" s="1768">
        <f>SUM(N49:N50)</f>
        <v>0.16700000000000001</v>
      </c>
      <c r="O48" s="3160">
        <f>+IF(Q48&gt;0,N48,"na")</f>
        <v>0.16700000000000001</v>
      </c>
      <c r="P48" s="1769">
        <f>SUM(P49:P50)</f>
        <v>246462440</v>
      </c>
      <c r="Q48" s="1769">
        <f>SUM(Q49:Q50)</f>
        <v>246462440</v>
      </c>
      <c r="R48" s="1769">
        <f>SUM(R49:R50)</f>
        <v>54406500</v>
      </c>
      <c r="S48" s="1769">
        <f>SUM(S49:S50)</f>
        <v>12284500</v>
      </c>
      <c r="T48" s="1770">
        <f>IF(Q48=0,0,R48/Q48)</f>
        <v>0.22074966067851962</v>
      </c>
      <c r="U48" s="1770">
        <f t="shared" ref="U48:U50" si="16">IF(R48=0,0,S48/R48)</f>
        <v>0.22579103599753705</v>
      </c>
      <c r="V48" s="75"/>
      <c r="W48" s="75"/>
      <c r="X48" s="75"/>
      <c r="Y48" s="75"/>
    </row>
    <row r="49" spans="1:25" s="761" customFormat="1" ht="92.4">
      <c r="A49" s="2993"/>
      <c r="B49" s="2993"/>
      <c r="C49" s="2993"/>
      <c r="D49" s="2995"/>
      <c r="E49" s="75" t="s">
        <v>2794</v>
      </c>
      <c r="F49" s="75"/>
      <c r="G49" s="75"/>
      <c r="H49" s="74"/>
      <c r="I49" s="95" t="s">
        <v>2795</v>
      </c>
      <c r="J49" s="115" t="s">
        <v>2796</v>
      </c>
      <c r="K49" s="75">
        <v>1</v>
      </c>
      <c r="L49" s="1770">
        <v>0.6</v>
      </c>
      <c r="M49" s="75">
        <v>0</v>
      </c>
      <c r="N49" s="1783">
        <v>0.16700000000000001</v>
      </c>
      <c r="O49" s="3160"/>
      <c r="P49" s="1769">
        <v>147877464</v>
      </c>
      <c r="Q49" s="1769">
        <v>147877464</v>
      </c>
      <c r="R49" s="1769">
        <v>54406500</v>
      </c>
      <c r="S49" s="1769">
        <v>12284500</v>
      </c>
      <c r="T49" s="1770">
        <f t="shared" ref="T49:T50" si="17">IF(Q49=0,0,R49/Q49)</f>
        <v>0.36791610113086604</v>
      </c>
      <c r="U49" s="1770">
        <f t="shared" si="16"/>
        <v>0.22579103599753705</v>
      </c>
      <c r="V49" s="1780">
        <v>45339</v>
      </c>
      <c r="W49" s="1780">
        <v>45412</v>
      </c>
      <c r="X49" s="95" t="s">
        <v>2797</v>
      </c>
      <c r="Y49" s="2988" t="s">
        <v>2712</v>
      </c>
    </row>
    <row r="50" spans="1:25" s="761" customFormat="1" ht="92.4">
      <c r="A50" s="2993"/>
      <c r="B50" s="2993"/>
      <c r="C50" s="2993"/>
      <c r="D50" s="2995"/>
      <c r="E50" s="75" t="s">
        <v>2798</v>
      </c>
      <c r="F50" s="75"/>
      <c r="G50" s="75"/>
      <c r="H50" s="74"/>
      <c r="I50" s="95" t="s">
        <v>2799</v>
      </c>
      <c r="J50" s="115" t="s">
        <v>2715</v>
      </c>
      <c r="K50" s="75">
        <v>1</v>
      </c>
      <c r="L50" s="1770">
        <v>0.4</v>
      </c>
      <c r="M50" s="75">
        <v>0</v>
      </c>
      <c r="N50" s="1783">
        <v>0</v>
      </c>
      <c r="O50" s="3160"/>
      <c r="P50" s="1769">
        <v>98584976</v>
      </c>
      <c r="Q50" s="1769">
        <v>98584976</v>
      </c>
      <c r="R50" s="1772">
        <v>0</v>
      </c>
      <c r="S50" s="1772">
        <v>0</v>
      </c>
      <c r="T50" s="1770">
        <f t="shared" si="17"/>
        <v>0</v>
      </c>
      <c r="U50" s="1770">
        <f t="shared" si="16"/>
        <v>0</v>
      </c>
      <c r="V50" s="1780"/>
      <c r="W50" s="1780"/>
      <c r="X50" s="75"/>
      <c r="Y50" s="2988"/>
    </row>
    <row r="51" spans="1:25" ht="41.4">
      <c r="A51" s="91"/>
      <c r="B51" s="72">
        <v>53050020015</v>
      </c>
      <c r="C51" s="72" t="s">
        <v>117</v>
      </c>
      <c r="D51" s="73" t="s">
        <v>2800</v>
      </c>
      <c r="E51" s="91"/>
      <c r="F51" s="91"/>
      <c r="G51" s="91"/>
      <c r="H51" s="72"/>
      <c r="I51" s="91"/>
      <c r="J51" s="72"/>
      <c r="K51" s="91"/>
      <c r="L51" s="91"/>
      <c r="M51" s="91"/>
      <c r="N51" s="1754"/>
      <c r="O51" s="91"/>
      <c r="P51" s="91"/>
      <c r="Q51" s="91"/>
      <c r="R51" s="91"/>
      <c r="S51" s="91"/>
      <c r="T51" s="91"/>
      <c r="U51" s="91"/>
      <c r="V51" s="91"/>
      <c r="W51" s="91"/>
      <c r="X51" s="91"/>
      <c r="Y51" s="91"/>
    </row>
    <row r="52" spans="1:25" s="761" customFormat="1" ht="13.2">
      <c r="A52" s="2993">
        <v>4147</v>
      </c>
      <c r="B52" s="2993"/>
      <c r="C52" s="2993" t="s">
        <v>502</v>
      </c>
      <c r="D52" s="2995" t="s">
        <v>2801</v>
      </c>
      <c r="E52" s="75" t="s">
        <v>2802</v>
      </c>
      <c r="F52" s="75"/>
      <c r="G52" s="75"/>
      <c r="H52" s="74"/>
      <c r="I52" s="75"/>
      <c r="J52" s="74"/>
      <c r="K52" s="75">
        <f>+K53</f>
        <v>1</v>
      </c>
      <c r="L52" s="77">
        <f>+L53</f>
        <v>1</v>
      </c>
      <c r="M52" s="75"/>
      <c r="N52" s="1768">
        <f>+N53</f>
        <v>0.25</v>
      </c>
      <c r="O52" s="75"/>
      <c r="P52" s="1769">
        <f>+P53</f>
        <v>133100000</v>
      </c>
      <c r="Q52" s="1769">
        <f>+Q53</f>
        <v>133100000</v>
      </c>
      <c r="R52" s="1769">
        <f>+R53</f>
        <v>39516000</v>
      </c>
      <c r="S52" s="1769">
        <f>+S53</f>
        <v>17997500</v>
      </c>
      <c r="T52" s="1770">
        <f>IF(Q52=0,0,R52/Q52)</f>
        <v>0.29688955672426748</v>
      </c>
      <c r="U52" s="1770">
        <f t="shared" ref="U52:U53" si="18">IF(R52=0,0,S52/R52)</f>
        <v>0.45544842595404395</v>
      </c>
      <c r="V52" s="75"/>
      <c r="W52" s="75"/>
      <c r="X52" s="75"/>
      <c r="Y52" s="75"/>
    </row>
    <row r="53" spans="1:25" s="761" customFormat="1" ht="158.4">
      <c r="A53" s="2993"/>
      <c r="B53" s="2993"/>
      <c r="C53" s="2993"/>
      <c r="D53" s="2995"/>
      <c r="E53" s="75" t="s">
        <v>2803</v>
      </c>
      <c r="F53" s="75"/>
      <c r="G53" s="95" t="s">
        <v>2800</v>
      </c>
      <c r="H53" s="74"/>
      <c r="I53" s="95" t="s">
        <v>2804</v>
      </c>
      <c r="J53" s="115" t="s">
        <v>136</v>
      </c>
      <c r="K53" s="75">
        <v>1</v>
      </c>
      <c r="L53" s="1770">
        <v>1</v>
      </c>
      <c r="M53" s="75">
        <v>0</v>
      </c>
      <c r="N53" s="1768">
        <v>0.25</v>
      </c>
      <c r="O53" s="358">
        <f>+IF(Q52&gt;0,N52,"na")</f>
        <v>0.25</v>
      </c>
      <c r="P53" s="1769">
        <v>133100000</v>
      </c>
      <c r="Q53" s="1769">
        <v>133100000</v>
      </c>
      <c r="R53" s="1769">
        <v>39516000</v>
      </c>
      <c r="S53" s="1769">
        <v>17997500</v>
      </c>
      <c r="T53" s="1770">
        <f>IF(Q53=0,0,R53/Q53)</f>
        <v>0.29688955672426748</v>
      </c>
      <c r="U53" s="1770">
        <f t="shared" si="18"/>
        <v>0.45544842595404395</v>
      </c>
      <c r="V53" s="1780">
        <v>45345</v>
      </c>
      <c r="W53" s="1780">
        <v>45412</v>
      </c>
      <c r="X53" s="95" t="s">
        <v>2805</v>
      </c>
      <c r="Y53" s="142" t="s">
        <v>2737</v>
      </c>
    </row>
    <row r="54" spans="1:25" s="420" customFormat="1" ht="15.6">
      <c r="A54" s="84"/>
      <c r="B54" s="85">
        <v>54</v>
      </c>
      <c r="C54" s="85" t="s">
        <v>114</v>
      </c>
      <c r="D54" s="1777" t="s">
        <v>122</v>
      </c>
      <c r="E54" s="84"/>
      <c r="F54" s="84"/>
      <c r="G54" s="84"/>
      <c r="H54" s="85"/>
      <c r="I54" s="84"/>
      <c r="J54" s="85"/>
      <c r="K54" s="84"/>
      <c r="L54" s="84"/>
      <c r="M54" s="84"/>
      <c r="N54" s="1776"/>
      <c r="O54" s="84"/>
      <c r="P54" s="84"/>
      <c r="Q54" s="84"/>
      <c r="R54" s="84"/>
      <c r="S54" s="84"/>
      <c r="T54" s="84"/>
      <c r="U54" s="84"/>
      <c r="V54" s="84"/>
      <c r="W54" s="84"/>
      <c r="X54" s="84"/>
      <c r="Y54" s="84"/>
    </row>
    <row r="55" spans="1:25" s="420" customFormat="1" ht="15.6">
      <c r="A55" s="84"/>
      <c r="B55" s="85">
        <v>5402</v>
      </c>
      <c r="C55" s="85" t="s">
        <v>115</v>
      </c>
      <c r="D55" s="88" t="s">
        <v>118</v>
      </c>
      <c r="E55" s="84"/>
      <c r="F55" s="84"/>
      <c r="G55" s="84"/>
      <c r="H55" s="85"/>
      <c r="I55" s="84"/>
      <c r="J55" s="85"/>
      <c r="K55" s="84"/>
      <c r="L55" s="84"/>
      <c r="M55" s="84"/>
      <c r="N55" s="1776"/>
      <c r="O55" s="84"/>
      <c r="P55" s="84"/>
      <c r="Q55" s="84"/>
      <c r="R55" s="84"/>
      <c r="S55" s="84"/>
      <c r="T55" s="84"/>
      <c r="U55" s="84"/>
      <c r="V55" s="84"/>
      <c r="W55" s="84"/>
      <c r="X55" s="84"/>
      <c r="Y55" s="84"/>
    </row>
    <row r="56" spans="1:25">
      <c r="A56" s="89"/>
      <c r="B56" s="97">
        <v>5402001</v>
      </c>
      <c r="C56" s="97" t="s">
        <v>116</v>
      </c>
      <c r="D56" s="96" t="s">
        <v>119</v>
      </c>
      <c r="E56" s="89"/>
      <c r="F56" s="89"/>
      <c r="G56" s="89"/>
      <c r="H56" s="97"/>
      <c r="I56" s="89"/>
      <c r="J56" s="97"/>
      <c r="K56" s="89"/>
      <c r="L56" s="89"/>
      <c r="M56" s="89"/>
      <c r="N56" s="1773"/>
      <c r="O56" s="89"/>
      <c r="P56" s="89"/>
      <c r="Q56" s="89"/>
      <c r="R56" s="89"/>
      <c r="S56" s="89"/>
      <c r="T56" s="89"/>
      <c r="U56" s="89"/>
      <c r="V56" s="89"/>
      <c r="W56" s="89"/>
      <c r="X56" s="89"/>
      <c r="Y56" s="89"/>
    </row>
    <row r="57" spans="1:25">
      <c r="A57" s="91"/>
      <c r="B57" s="72">
        <v>54020010032</v>
      </c>
      <c r="C57" s="72" t="s">
        <v>117</v>
      </c>
      <c r="D57" s="73" t="s">
        <v>2806</v>
      </c>
      <c r="E57" s="91"/>
      <c r="F57" s="91"/>
      <c r="G57" s="91"/>
      <c r="H57" s="72"/>
      <c r="I57" s="91"/>
      <c r="J57" s="72"/>
      <c r="K57" s="91"/>
      <c r="L57" s="91"/>
      <c r="M57" s="91"/>
      <c r="N57" s="1754"/>
      <c r="O57" s="91"/>
      <c r="P57" s="91"/>
      <c r="Q57" s="91"/>
      <c r="R57" s="91"/>
      <c r="S57" s="91"/>
      <c r="T57" s="91"/>
      <c r="U57" s="91"/>
      <c r="V57" s="91"/>
      <c r="W57" s="91"/>
      <c r="X57" s="91"/>
      <c r="Y57" s="91"/>
    </row>
    <row r="58" spans="1:25" s="761" customFormat="1" ht="13.2">
      <c r="A58" s="2993">
        <v>4147</v>
      </c>
      <c r="B58" s="2993"/>
      <c r="C58" s="2993" t="s">
        <v>502</v>
      </c>
      <c r="D58" s="2995" t="s">
        <v>2807</v>
      </c>
      <c r="E58" s="75" t="s">
        <v>2808</v>
      </c>
      <c r="F58" s="75"/>
      <c r="G58" s="75"/>
      <c r="H58" s="74"/>
      <c r="I58" s="75"/>
      <c r="J58" s="74"/>
      <c r="K58" s="75">
        <f>+K59</f>
        <v>1</v>
      </c>
      <c r="L58" s="77">
        <f>+L59</f>
        <v>1</v>
      </c>
      <c r="M58" s="75"/>
      <c r="N58" s="1768">
        <f>+N59</f>
        <v>0.22</v>
      </c>
      <c r="O58" s="75"/>
      <c r="P58" s="1769">
        <f>+P59</f>
        <v>431400000</v>
      </c>
      <c r="Q58" s="1769">
        <f>+Q59</f>
        <v>431400000</v>
      </c>
      <c r="R58" s="1769">
        <f>+R59</f>
        <v>82325500</v>
      </c>
      <c r="S58" s="1769">
        <f>+S59</f>
        <v>27484000</v>
      </c>
      <c r="T58" s="1770">
        <f>IF(Q58=0,0,R58/Q58)</f>
        <v>0.19083333333333333</v>
      </c>
      <c r="U58" s="1770">
        <f t="shared" ref="U58:U59" si="19">IF(R58=0,0,S58/R58)</f>
        <v>0.33384552781337495</v>
      </c>
      <c r="V58" s="75"/>
      <c r="W58" s="75"/>
      <c r="X58" s="75"/>
      <c r="Y58" s="75"/>
    </row>
    <row r="59" spans="1:25" s="761" customFormat="1" ht="52.8">
      <c r="A59" s="2993"/>
      <c r="B59" s="2993"/>
      <c r="C59" s="2993"/>
      <c r="D59" s="2995"/>
      <c r="E59" s="75" t="s">
        <v>2809</v>
      </c>
      <c r="F59" s="75"/>
      <c r="G59" s="95" t="s">
        <v>2806</v>
      </c>
      <c r="H59" s="74"/>
      <c r="I59" s="95" t="s">
        <v>2810</v>
      </c>
      <c r="J59" s="115" t="s">
        <v>2811</v>
      </c>
      <c r="K59" s="75">
        <v>1</v>
      </c>
      <c r="L59" s="1770">
        <v>1</v>
      </c>
      <c r="M59" s="75">
        <v>0</v>
      </c>
      <c r="N59" s="1768">
        <v>0.22</v>
      </c>
      <c r="O59" s="358">
        <f>+IF(Q58&gt;0,N58,"na")</f>
        <v>0.22</v>
      </c>
      <c r="P59" s="1769">
        <v>431400000</v>
      </c>
      <c r="Q59" s="1769">
        <v>431400000</v>
      </c>
      <c r="R59" s="76">
        <v>82325500</v>
      </c>
      <c r="S59" s="76">
        <v>27484000</v>
      </c>
      <c r="T59" s="1770">
        <f>IF(Q59=0,0,R59/Q59)</f>
        <v>0.19083333333333333</v>
      </c>
      <c r="U59" s="1770">
        <f t="shared" si="19"/>
        <v>0.33384552781337495</v>
      </c>
      <c r="V59" s="1780">
        <v>45336</v>
      </c>
      <c r="W59" s="1780">
        <v>45412</v>
      </c>
      <c r="X59" s="95" t="s">
        <v>2812</v>
      </c>
      <c r="Y59" s="142" t="s">
        <v>2813</v>
      </c>
    </row>
    <row r="60" spans="1:25" ht="27.6">
      <c r="A60" s="91"/>
      <c r="B60" s="72">
        <v>54020010039</v>
      </c>
      <c r="C60" s="72" t="s">
        <v>117</v>
      </c>
      <c r="D60" s="73" t="s">
        <v>2814</v>
      </c>
      <c r="E60" s="91"/>
      <c r="F60" s="91"/>
      <c r="G60" s="91"/>
      <c r="H60" s="72"/>
      <c r="I60" s="91"/>
      <c r="J60" s="72"/>
      <c r="K60" s="91"/>
      <c r="L60" s="91"/>
      <c r="M60" s="91"/>
      <c r="N60" s="1754"/>
      <c r="O60" s="91"/>
      <c r="P60" s="91"/>
      <c r="Q60" s="91"/>
      <c r="R60" s="91"/>
      <c r="S60" s="91"/>
      <c r="T60" s="91"/>
      <c r="U60" s="91"/>
      <c r="V60" s="91"/>
      <c r="W60" s="91"/>
      <c r="X60" s="91"/>
      <c r="Y60" s="91"/>
    </row>
    <row r="61" spans="1:25" s="761" customFormat="1" ht="13.2">
      <c r="A61" s="2993">
        <v>4147</v>
      </c>
      <c r="B61" s="2993"/>
      <c r="C61" s="2993" t="s">
        <v>502</v>
      </c>
      <c r="D61" s="2995" t="s">
        <v>2815</v>
      </c>
      <c r="E61" s="75" t="s">
        <v>2816</v>
      </c>
      <c r="F61" s="75"/>
      <c r="G61" s="75"/>
      <c r="H61" s="74"/>
      <c r="I61" s="75"/>
      <c r="J61" s="74"/>
      <c r="K61" s="75">
        <f>+K62</f>
        <v>1748</v>
      </c>
      <c r="L61" s="77">
        <f>SUM(L62:L63)</f>
        <v>1</v>
      </c>
      <c r="M61" s="75"/>
      <c r="N61" s="1768">
        <f>SUM(N62:N63)</f>
        <v>0.27400000000000002</v>
      </c>
      <c r="O61" s="3160">
        <f>+IF(Q61&gt;0,N61,"na")</f>
        <v>0.27400000000000002</v>
      </c>
      <c r="P61" s="1769">
        <f>SUM(P62:P63)</f>
        <v>1534243680</v>
      </c>
      <c r="Q61" s="1769">
        <f>SUM(Q62:Q63)</f>
        <v>1534243680</v>
      </c>
      <c r="R61" s="1769">
        <f>SUM(R62:R63)</f>
        <v>856411000</v>
      </c>
      <c r="S61" s="1769">
        <f>SUM(S62:S63)</f>
        <v>486635000</v>
      </c>
      <c r="T61" s="1770">
        <f>IF(Q61=0,0,R61/Q61)</f>
        <v>0.55819750875558438</v>
      </c>
      <c r="U61" s="1770">
        <f t="shared" ref="U61:U63" si="20">IF(R61=0,0,S61/R61)</f>
        <v>0.56822600363610465</v>
      </c>
      <c r="V61" s="75"/>
      <c r="W61" s="75"/>
      <c r="X61" s="75"/>
      <c r="Y61" s="75"/>
    </row>
    <row r="62" spans="1:25" s="761" customFormat="1" ht="118.8">
      <c r="A62" s="2993"/>
      <c r="B62" s="2993"/>
      <c r="C62" s="2993"/>
      <c r="D62" s="2995"/>
      <c r="E62" s="75" t="s">
        <v>2817</v>
      </c>
      <c r="F62" s="75"/>
      <c r="G62" s="95" t="s">
        <v>2814</v>
      </c>
      <c r="H62" s="142"/>
      <c r="I62" s="95" t="s">
        <v>2818</v>
      </c>
      <c r="J62" s="115" t="s">
        <v>1340</v>
      </c>
      <c r="K62" s="75">
        <v>1748</v>
      </c>
      <c r="L62" s="1770">
        <v>0.7</v>
      </c>
      <c r="M62" s="75">
        <v>0</v>
      </c>
      <c r="N62" s="1783">
        <v>0.18</v>
      </c>
      <c r="O62" s="3160"/>
      <c r="P62" s="1769">
        <v>478324224</v>
      </c>
      <c r="Q62" s="1769">
        <v>478324224</v>
      </c>
      <c r="R62" s="1769">
        <v>173849000</v>
      </c>
      <c r="S62" s="1769">
        <v>93652000</v>
      </c>
      <c r="T62" s="1770">
        <f t="shared" ref="T62:T63" si="21">IF(Q62=0,0,R62/Q62)</f>
        <v>0.3634543083479711</v>
      </c>
      <c r="U62" s="1770">
        <f t="shared" si="20"/>
        <v>0.53869737530845729</v>
      </c>
      <c r="V62" s="1780">
        <v>45314</v>
      </c>
      <c r="W62" s="1780">
        <v>45412</v>
      </c>
      <c r="X62" s="95" t="s">
        <v>2819</v>
      </c>
      <c r="Y62" s="2988" t="s">
        <v>2813</v>
      </c>
    </row>
    <row r="63" spans="1:25" s="761" customFormat="1" ht="39.6">
      <c r="A63" s="2993"/>
      <c r="B63" s="2993"/>
      <c r="C63" s="2993"/>
      <c r="D63" s="2995"/>
      <c r="E63" s="75" t="s">
        <v>2820</v>
      </c>
      <c r="F63" s="75"/>
      <c r="G63" s="75"/>
      <c r="H63" s="74"/>
      <c r="I63" s="95" t="s">
        <v>2821</v>
      </c>
      <c r="J63" s="115" t="s">
        <v>2822</v>
      </c>
      <c r="K63" s="75">
        <v>1</v>
      </c>
      <c r="L63" s="1770">
        <v>0.3</v>
      </c>
      <c r="M63" s="75">
        <v>0</v>
      </c>
      <c r="N63" s="1783">
        <v>9.4E-2</v>
      </c>
      <c r="O63" s="3160"/>
      <c r="P63" s="1769">
        <v>1055919456</v>
      </c>
      <c r="Q63" s="1769">
        <v>1055919456</v>
      </c>
      <c r="R63" s="1769">
        <v>682562000</v>
      </c>
      <c r="S63" s="1769">
        <v>392983000</v>
      </c>
      <c r="T63" s="1770">
        <f t="shared" si="21"/>
        <v>0.64641483412537859</v>
      </c>
      <c r="U63" s="1770">
        <f t="shared" si="20"/>
        <v>0.57574696511086176</v>
      </c>
      <c r="V63" s="1780">
        <v>45315</v>
      </c>
      <c r="W63" s="1780">
        <v>45412</v>
      </c>
      <c r="X63" s="95" t="s">
        <v>2823</v>
      </c>
      <c r="Y63" s="2988"/>
    </row>
    <row r="64" spans="1:25">
      <c r="A64" s="89"/>
      <c r="B64" s="97">
        <v>5402004</v>
      </c>
      <c r="C64" s="97" t="s">
        <v>116</v>
      </c>
      <c r="D64" s="96" t="s">
        <v>635</v>
      </c>
      <c r="E64" s="89"/>
      <c r="F64" s="89"/>
      <c r="G64" s="89"/>
      <c r="H64" s="97"/>
      <c r="I64" s="89"/>
      <c r="J64" s="97"/>
      <c r="K64" s="89"/>
      <c r="L64" s="89"/>
      <c r="M64" s="89"/>
      <c r="N64" s="1773"/>
      <c r="O64" s="89"/>
      <c r="P64" s="89"/>
      <c r="Q64" s="89"/>
      <c r="R64" s="89"/>
      <c r="S64" s="89"/>
      <c r="T64" s="89"/>
      <c r="U64" s="89"/>
      <c r="V64" s="89"/>
      <c r="W64" s="89"/>
      <c r="X64" s="89"/>
      <c r="Y64" s="89"/>
    </row>
    <row r="65" spans="1:25">
      <c r="A65" s="91"/>
      <c r="B65" s="72">
        <v>54020040011</v>
      </c>
      <c r="C65" s="72" t="s">
        <v>117</v>
      </c>
      <c r="D65" s="73" t="s">
        <v>2824</v>
      </c>
      <c r="E65" s="91"/>
      <c r="F65" s="91"/>
      <c r="G65" s="91"/>
      <c r="H65" s="72"/>
      <c r="I65" s="91"/>
      <c r="J65" s="72"/>
      <c r="K65" s="91"/>
      <c r="L65" s="91"/>
      <c r="M65" s="91"/>
      <c r="N65" s="1754"/>
      <c r="O65" s="91"/>
      <c r="P65" s="91"/>
      <c r="Q65" s="91"/>
      <c r="R65" s="91"/>
      <c r="S65" s="91"/>
      <c r="T65" s="91"/>
      <c r="U65" s="91"/>
      <c r="V65" s="91"/>
      <c r="W65" s="91"/>
      <c r="X65" s="91"/>
      <c r="Y65" s="91"/>
    </row>
    <row r="66" spans="1:25" s="761" customFormat="1" ht="13.2">
      <c r="A66" s="2993">
        <v>4147</v>
      </c>
      <c r="B66" s="2993"/>
      <c r="C66" s="2993" t="s">
        <v>502</v>
      </c>
      <c r="D66" s="2995" t="s">
        <v>2825</v>
      </c>
      <c r="E66" s="75" t="s">
        <v>2826</v>
      </c>
      <c r="F66" s="75"/>
      <c r="G66" s="75"/>
      <c r="H66" s="74"/>
      <c r="I66" s="75"/>
      <c r="J66" s="74"/>
      <c r="K66" s="75">
        <f>+K67</f>
        <v>563</v>
      </c>
      <c r="L66" s="77">
        <f>SUM(L67:L68)</f>
        <v>1</v>
      </c>
      <c r="M66" s="75"/>
      <c r="N66" s="1768">
        <f>SUM(N67:N68)</f>
        <v>0.32300000000000001</v>
      </c>
      <c r="O66" s="75"/>
      <c r="P66" s="1769">
        <f>SUM(P67:P68)</f>
        <v>1159596157</v>
      </c>
      <c r="Q66" s="1769">
        <f>SUM(Q67:Q68)</f>
        <v>1159596157</v>
      </c>
      <c r="R66" s="1769">
        <f>SUM(R67:R68)</f>
        <v>278138500</v>
      </c>
      <c r="S66" s="1769">
        <f>SUM(S67:S68)</f>
        <v>106978000</v>
      </c>
      <c r="T66" s="1770">
        <f>IF(Q66=0,0,R66/Q66)</f>
        <v>0.23985807327921319</v>
      </c>
      <c r="U66" s="1770">
        <f t="shared" ref="U66" si="22">IF(R66=0,0,S66/R66)</f>
        <v>0.38462133073990118</v>
      </c>
      <c r="V66" s="75"/>
      <c r="W66" s="75"/>
      <c r="X66" s="75"/>
      <c r="Y66" s="75"/>
    </row>
    <row r="67" spans="1:25" s="761" customFormat="1" ht="52.8">
      <c r="A67" s="2993"/>
      <c r="B67" s="2993"/>
      <c r="C67" s="2993"/>
      <c r="D67" s="2995"/>
      <c r="E67" s="75" t="s">
        <v>2827</v>
      </c>
      <c r="F67" s="75"/>
      <c r="G67" s="95" t="s">
        <v>2828</v>
      </c>
      <c r="H67" s="142"/>
      <c r="I67" s="95" t="s">
        <v>2829</v>
      </c>
      <c r="J67" s="95" t="s">
        <v>2830</v>
      </c>
      <c r="K67" s="75">
        <v>563</v>
      </c>
      <c r="L67" s="1770">
        <v>0.63</v>
      </c>
      <c r="M67" s="76">
        <v>96</v>
      </c>
      <c r="N67" s="1783">
        <v>0.222</v>
      </c>
      <c r="O67" s="3164">
        <f>+IF(Q66&gt;0,N66,"na")</f>
        <v>0.32300000000000001</v>
      </c>
      <c r="P67" s="1769">
        <v>681595753</v>
      </c>
      <c r="Q67" s="1769">
        <v>681595753</v>
      </c>
      <c r="R67" s="1769">
        <v>207947500</v>
      </c>
      <c r="S67" s="1769">
        <v>99749000</v>
      </c>
      <c r="T67" s="1770">
        <f>IF(Q67=0,0,R67/Q67)</f>
        <v>0.30508919558951536</v>
      </c>
      <c r="U67" s="1770">
        <f>IF(R67=0,0,S67/R67)</f>
        <v>0.47968357397900913</v>
      </c>
      <c r="V67" s="1780">
        <v>45314</v>
      </c>
      <c r="W67" s="1780">
        <v>45412</v>
      </c>
      <c r="X67" s="95" t="s">
        <v>2831</v>
      </c>
      <c r="Y67" s="2988" t="s">
        <v>2813</v>
      </c>
    </row>
    <row r="68" spans="1:25" s="761" customFormat="1" ht="52.8">
      <c r="A68" s="3162"/>
      <c r="B68" s="3162"/>
      <c r="C68" s="3162"/>
      <c r="D68" s="3163"/>
      <c r="E68" s="1785" t="s">
        <v>2832</v>
      </c>
      <c r="F68" s="1785"/>
      <c r="G68" s="1785"/>
      <c r="H68" s="406"/>
      <c r="I68" s="121" t="s">
        <v>2833</v>
      </c>
      <c r="J68" s="121" t="s">
        <v>2834</v>
      </c>
      <c r="K68" s="1785">
        <v>1</v>
      </c>
      <c r="L68" s="1786">
        <v>0.37</v>
      </c>
      <c r="M68" s="1785">
        <v>0</v>
      </c>
      <c r="N68" s="1787">
        <v>0.10100000000000001</v>
      </c>
      <c r="O68" s="3165"/>
      <c r="P68" s="1788">
        <v>478000404</v>
      </c>
      <c r="Q68" s="1788">
        <v>478000404</v>
      </c>
      <c r="R68" s="1788">
        <v>70191000</v>
      </c>
      <c r="S68" s="1788">
        <v>7229000</v>
      </c>
      <c r="T68" s="1786">
        <f>IF(Q68=0,0,R68/Q68)</f>
        <v>0.14684297212434991</v>
      </c>
      <c r="U68" s="1786">
        <f t="shared" ref="U68" si="23">IF(R68=0,0,S68/R68)</f>
        <v>0.10299041187616646</v>
      </c>
      <c r="V68" s="1789">
        <v>45340</v>
      </c>
      <c r="W68" s="1789">
        <v>45412</v>
      </c>
      <c r="X68" s="121" t="s">
        <v>2835</v>
      </c>
      <c r="Y68" s="3166"/>
    </row>
    <row r="69" spans="1:25">
      <c r="A69" s="1755"/>
      <c r="B69" s="1756"/>
      <c r="C69" s="1755"/>
      <c r="D69" s="1757"/>
      <c r="E69" s="1757"/>
      <c r="F69" s="1757"/>
      <c r="G69" s="1757"/>
      <c r="H69" s="1758"/>
      <c r="I69" s="1757"/>
      <c r="J69" s="1758"/>
      <c r="K69" s="1759"/>
      <c r="L69" s="1759"/>
      <c r="M69" s="1757"/>
      <c r="N69" s="1760"/>
      <c r="O69" s="1757"/>
      <c r="P69" s="1757"/>
      <c r="Q69" s="1757"/>
      <c r="R69" s="1757"/>
      <c r="S69" s="1757"/>
      <c r="T69" s="1757"/>
      <c r="U69" s="1757"/>
      <c r="V69" s="1757"/>
      <c r="W69" s="1757"/>
      <c r="X69" s="1761"/>
      <c r="Y69" s="1761"/>
    </row>
    <row r="70" spans="1:25">
      <c r="A70" s="1755"/>
      <c r="B70" s="1755" t="s">
        <v>50</v>
      </c>
      <c r="C70" s="1755">
        <f>COUNTIF(C7:C68,"Pr")</f>
        <v>13</v>
      </c>
      <c r="D70" s="1757"/>
      <c r="E70" s="1757" t="s">
        <v>126</v>
      </c>
      <c r="F70" s="1757"/>
      <c r="G70" s="1758">
        <f>COUNTIF(O11:O68,"na")-C71</f>
        <v>0</v>
      </c>
      <c r="H70" s="1758"/>
      <c r="I70" s="1757"/>
      <c r="J70" s="1758"/>
      <c r="K70" s="1759"/>
      <c r="L70" s="1759"/>
      <c r="M70" s="1757"/>
      <c r="N70" s="1762" t="s">
        <v>127</v>
      </c>
      <c r="O70" s="1763">
        <f>+AVERAGE(O7:O68)</f>
        <v>0.1617076923076923</v>
      </c>
      <c r="P70" s="1764">
        <f>SUM(P11,P16,P20,P24,P29,P33,P40,P44,P48,P52,P58,P61,P66)</f>
        <v>34200000000</v>
      </c>
      <c r="Q70" s="1764">
        <f t="shared" ref="Q70:R70" si="24">SUM(Q11,Q16,Q20,Q24,Q29,Q33,Q40,Q44,Q48,Q52,Q58,Q61,Q66)</f>
        <v>37200000000</v>
      </c>
      <c r="R70" s="1764">
        <f t="shared" si="24"/>
        <v>5216586300</v>
      </c>
      <c r="S70" s="1764">
        <f>SUM(S11,S16,S20,S24,S29,S33,S40,S44,S48,S52,S58,S61,S66)</f>
        <v>1078783000</v>
      </c>
      <c r="T70" s="1765">
        <f>IF(Q70=0,0,R70/Q70)</f>
        <v>0.14023081451612904</v>
      </c>
      <c r="U70" s="1765">
        <f>IF(R70=0,0,S70/R70)</f>
        <v>0.20679864914724022</v>
      </c>
      <c r="V70" s="1757"/>
      <c r="W70" s="1757"/>
      <c r="X70" s="1761"/>
      <c r="Y70" s="1761"/>
    </row>
    <row r="71" spans="1:25">
      <c r="A71" s="1755"/>
      <c r="B71" s="1756"/>
      <c r="C71" s="517"/>
      <c r="D71" s="1757"/>
      <c r="E71" s="1757"/>
      <c r="F71" s="1757"/>
      <c r="G71" s="1757"/>
      <c r="H71" s="1758"/>
      <c r="I71" s="1757"/>
      <c r="J71" s="1758"/>
      <c r="K71" s="1759"/>
      <c r="L71" s="1759"/>
      <c r="M71" s="1757"/>
      <c r="N71" s="1762" t="s">
        <v>133</v>
      </c>
      <c r="O71" s="53">
        <f>COUNTIF(O11:O68,"=0%")</f>
        <v>1</v>
      </c>
      <c r="P71" s="1766">
        <v>34200000000</v>
      </c>
      <c r="Q71" s="1766">
        <v>37200000000</v>
      </c>
      <c r="R71" s="1766">
        <v>5216586300</v>
      </c>
      <c r="S71" s="1766">
        <v>1078783000</v>
      </c>
      <c r="T71" s="1757"/>
      <c r="U71" s="1757"/>
      <c r="V71" s="1757"/>
      <c r="W71" s="1757"/>
      <c r="X71" s="1761"/>
      <c r="Y71" s="1761"/>
    </row>
  </sheetData>
  <autoFilter ref="A5:Y68" xr:uid="{00000000-0009-0000-0000-00000F000000}"/>
  <mergeCells count="106">
    <mergeCell ref="O61:O63"/>
    <mergeCell ref="Y62:Y63"/>
    <mergeCell ref="A66:A68"/>
    <mergeCell ref="B66:B68"/>
    <mergeCell ref="C66:C68"/>
    <mergeCell ref="D66:D68"/>
    <mergeCell ref="O67:O68"/>
    <mergeCell ref="Y67:Y68"/>
    <mergeCell ref="A58:A59"/>
    <mergeCell ref="B58:B59"/>
    <mergeCell ref="C58:C59"/>
    <mergeCell ref="D58:D59"/>
    <mergeCell ref="A61:A63"/>
    <mergeCell ref="B61:B63"/>
    <mergeCell ref="C61:C63"/>
    <mergeCell ref="D61:D63"/>
    <mergeCell ref="Y49:Y50"/>
    <mergeCell ref="A52:A53"/>
    <mergeCell ref="B52:B53"/>
    <mergeCell ref="C52:C53"/>
    <mergeCell ref="D52:D53"/>
    <mergeCell ref="A48:A50"/>
    <mergeCell ref="B48:B50"/>
    <mergeCell ref="C48:C50"/>
    <mergeCell ref="D48:D50"/>
    <mergeCell ref="O48:O50"/>
    <mergeCell ref="Y41:Y42"/>
    <mergeCell ref="A44:A46"/>
    <mergeCell ref="B44:B46"/>
    <mergeCell ref="C44:C46"/>
    <mergeCell ref="D44:D46"/>
    <mergeCell ref="O44:O46"/>
    <mergeCell ref="Y45:Y46"/>
    <mergeCell ref="A40:A42"/>
    <mergeCell ref="B40:B42"/>
    <mergeCell ref="C40:C42"/>
    <mergeCell ref="D40:D42"/>
    <mergeCell ref="O40:O42"/>
    <mergeCell ref="Y30:Y32"/>
    <mergeCell ref="A33:A35"/>
    <mergeCell ref="B33:B35"/>
    <mergeCell ref="C33:C35"/>
    <mergeCell ref="D33:D35"/>
    <mergeCell ref="O33:O35"/>
    <mergeCell ref="Y34:Y35"/>
    <mergeCell ref="A29:A32"/>
    <mergeCell ref="B29:B32"/>
    <mergeCell ref="C29:C32"/>
    <mergeCell ref="D29:D32"/>
    <mergeCell ref="O29:O32"/>
    <mergeCell ref="Y21:Y22"/>
    <mergeCell ref="A24:A26"/>
    <mergeCell ref="B24:B26"/>
    <mergeCell ref="C24:C26"/>
    <mergeCell ref="D24:D26"/>
    <mergeCell ref="O24:O26"/>
    <mergeCell ref="Y25:Y26"/>
    <mergeCell ref="A20:A22"/>
    <mergeCell ref="B20:B22"/>
    <mergeCell ref="C20:C22"/>
    <mergeCell ref="D20:D22"/>
    <mergeCell ref="O20:O22"/>
    <mergeCell ref="A16:A18"/>
    <mergeCell ref="B16:B18"/>
    <mergeCell ref="C16:C18"/>
    <mergeCell ref="D16:D18"/>
    <mergeCell ref="O16:O18"/>
    <mergeCell ref="Y17:Y18"/>
    <mergeCell ref="A11:A14"/>
    <mergeCell ref="B11:B14"/>
    <mergeCell ref="C11:C14"/>
    <mergeCell ref="D11:D14"/>
    <mergeCell ref="O11:O14"/>
    <mergeCell ref="P5:P6"/>
    <mergeCell ref="S5:S6"/>
    <mergeCell ref="C5:C6"/>
    <mergeCell ref="I5:I6"/>
    <mergeCell ref="G5:G6"/>
    <mergeCell ref="H5:H6"/>
    <mergeCell ref="Y12:Y14"/>
    <mergeCell ref="N5:N6"/>
    <mergeCell ref="U5:U6"/>
    <mergeCell ref="B5:B6"/>
    <mergeCell ref="A5:A6"/>
    <mergeCell ref="V3:W3"/>
    <mergeCell ref="J5:J6"/>
    <mergeCell ref="D5:D6"/>
    <mergeCell ref="E5:E6"/>
    <mergeCell ref="A1:X1"/>
    <mergeCell ref="R5:R6"/>
    <mergeCell ref="O5:O6"/>
    <mergeCell ref="M5:M6"/>
    <mergeCell ref="X5:X6"/>
    <mergeCell ref="K5:K6"/>
    <mergeCell ref="A4:Y4"/>
    <mergeCell ref="A2:Y2"/>
    <mergeCell ref="A3:B3"/>
    <mergeCell ref="C3:R3"/>
    <mergeCell ref="W5:W6"/>
    <mergeCell ref="Q5:Q6"/>
    <mergeCell ref="T5:T6"/>
    <mergeCell ref="V5:V6"/>
    <mergeCell ref="S3:U3"/>
    <mergeCell ref="F5:F6"/>
    <mergeCell ref="Y5:Y6"/>
    <mergeCell ref="L5:L6"/>
  </mergeCells>
  <pageMargins left="0.511811023622047" right="0.511811023622047" top="0.78740157480314998" bottom="1.1811023622047201" header="0.78740157480314998" footer="0.78740157480314998"/>
  <pageSetup paperSize="529" scale="43" firstPageNumber="4" orientation="landscape" useFirstPageNumber="1"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297"/>
  <sheetViews>
    <sheetView showWhiteSpace="0"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3021" t="s">
        <v>94</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2">
        <v>2024</v>
      </c>
    </row>
    <row r="4" spans="1:25" s="27" customFormat="1" ht="25.5" customHeight="1">
      <c r="A4" s="3155"/>
      <c r="B4" s="3155"/>
      <c r="C4" s="3155"/>
      <c r="D4" s="3155"/>
      <c r="E4" s="3155"/>
      <c r="F4" s="3155"/>
      <c r="G4" s="3155"/>
      <c r="H4" s="3155"/>
      <c r="I4" s="3155"/>
      <c r="J4" s="3155"/>
      <c r="K4" s="3155"/>
      <c r="L4" s="3155"/>
      <c r="M4" s="3155"/>
      <c r="N4" s="3155"/>
      <c r="O4" s="3155"/>
      <c r="P4" s="3155"/>
      <c r="Q4" s="3155"/>
      <c r="R4" s="3155"/>
      <c r="S4" s="3155"/>
      <c r="T4" s="3155"/>
      <c r="U4" s="3155"/>
      <c r="V4" s="3155"/>
      <c r="W4" s="3155"/>
      <c r="X4" s="3155"/>
      <c r="Y4" s="3155"/>
    </row>
    <row r="5" spans="1:25" s="27" customFormat="1" ht="39.9" customHeight="1">
      <c r="A5" s="2869" t="s">
        <v>88</v>
      </c>
      <c r="B5" s="2869" t="s">
        <v>4</v>
      </c>
      <c r="C5" s="2869" t="s">
        <v>3</v>
      </c>
      <c r="D5" s="2869" t="s">
        <v>273</v>
      </c>
      <c r="E5" s="3065" t="s">
        <v>2</v>
      </c>
      <c r="F5" s="3178" t="s">
        <v>274</v>
      </c>
      <c r="G5" s="3184" t="s">
        <v>106</v>
      </c>
      <c r="H5" s="3178" t="s">
        <v>107</v>
      </c>
      <c r="I5" s="3184" t="s">
        <v>8</v>
      </c>
      <c r="J5" s="3184" t="s">
        <v>9</v>
      </c>
      <c r="K5" s="3178" t="s">
        <v>10</v>
      </c>
      <c r="L5" s="3187" t="s">
        <v>11</v>
      </c>
      <c r="M5" s="3189" t="s">
        <v>100</v>
      </c>
      <c r="N5" s="3191" t="s">
        <v>12</v>
      </c>
      <c r="O5" s="3192" t="s">
        <v>86</v>
      </c>
      <c r="P5" s="3194" t="s">
        <v>1</v>
      </c>
      <c r="Q5" s="3185" t="s">
        <v>13</v>
      </c>
      <c r="R5" s="3185" t="s">
        <v>14</v>
      </c>
      <c r="S5" s="3185" t="s">
        <v>16</v>
      </c>
      <c r="T5" s="3179" t="s">
        <v>15</v>
      </c>
      <c r="U5" s="3179" t="s">
        <v>103</v>
      </c>
      <c r="V5" s="3153" t="s">
        <v>275</v>
      </c>
      <c r="W5" s="3153" t="s">
        <v>7</v>
      </c>
      <c r="X5" s="3181" t="s">
        <v>276</v>
      </c>
      <c r="Y5" s="3183" t="s">
        <v>90</v>
      </c>
    </row>
    <row r="6" spans="1:25" s="27" customFormat="1" ht="39.9" customHeight="1">
      <c r="A6" s="2869"/>
      <c r="B6" s="2869"/>
      <c r="C6" s="2869"/>
      <c r="D6" s="2869"/>
      <c r="E6" s="3025"/>
      <c r="F6" s="3178"/>
      <c r="G6" s="3184"/>
      <c r="H6" s="3178"/>
      <c r="I6" s="3184"/>
      <c r="J6" s="3184"/>
      <c r="K6" s="3178"/>
      <c r="L6" s="3188"/>
      <c r="M6" s="3190"/>
      <c r="N6" s="3015"/>
      <c r="O6" s="3193"/>
      <c r="P6" s="3195"/>
      <c r="Q6" s="3186"/>
      <c r="R6" s="3186"/>
      <c r="S6" s="3186"/>
      <c r="T6" s="3180"/>
      <c r="U6" s="3180"/>
      <c r="V6" s="3177"/>
      <c r="W6" s="3177"/>
      <c r="X6" s="3182"/>
      <c r="Y6" s="3183"/>
    </row>
    <row r="7" spans="1:25" ht="15.6">
      <c r="A7" s="1824"/>
      <c r="B7" s="1825">
        <v>51</v>
      </c>
      <c r="C7" s="1825" t="s">
        <v>114</v>
      </c>
      <c r="D7" s="1826" t="s">
        <v>1351</v>
      </c>
      <c r="E7" s="1827"/>
      <c r="F7" s="1828"/>
      <c r="G7" s="1829"/>
      <c r="H7" s="1830"/>
      <c r="I7" s="1828"/>
      <c r="J7" s="1828"/>
      <c r="K7" s="1831"/>
      <c r="L7" s="1831"/>
      <c r="M7" s="1832"/>
      <c r="N7" s="1831"/>
      <c r="O7" s="1831"/>
      <c r="P7" s="1833"/>
      <c r="Q7" s="1833"/>
      <c r="R7" s="1833"/>
      <c r="S7" s="1833"/>
      <c r="T7" s="1834"/>
      <c r="U7" s="1834"/>
      <c r="V7" s="1827"/>
      <c r="W7" s="1827"/>
      <c r="X7" s="1835"/>
      <c r="Y7" s="1828"/>
    </row>
    <row r="8" spans="1:25">
      <c r="A8" s="592"/>
      <c r="B8" s="214">
        <v>5102</v>
      </c>
      <c r="C8" s="214" t="s">
        <v>115</v>
      </c>
      <c r="D8" s="215" t="s">
        <v>2836</v>
      </c>
      <c r="E8" s="1836"/>
      <c r="F8" s="1748"/>
      <c r="G8" s="1837"/>
      <c r="H8" s="1838"/>
      <c r="I8" s="1748"/>
      <c r="J8" s="1748"/>
      <c r="K8" s="1839"/>
      <c r="L8" s="1839"/>
      <c r="M8" s="1840"/>
      <c r="N8" s="1839"/>
      <c r="O8" s="1839"/>
      <c r="P8" s="1841"/>
      <c r="Q8" s="1841"/>
      <c r="R8" s="1841"/>
      <c r="S8" s="1841"/>
      <c r="T8" s="1842"/>
      <c r="U8" s="1842"/>
      <c r="V8" s="1836"/>
      <c r="W8" s="1836"/>
      <c r="X8" s="1843"/>
      <c r="Y8" s="1748"/>
    </row>
    <row r="9" spans="1:25">
      <c r="A9" s="592"/>
      <c r="B9" s="214">
        <v>5102001</v>
      </c>
      <c r="C9" s="214" t="s">
        <v>116</v>
      </c>
      <c r="D9" s="215" t="s">
        <v>2837</v>
      </c>
      <c r="E9" s="1836"/>
      <c r="F9" s="1748"/>
      <c r="G9" s="1837"/>
      <c r="H9" s="1838"/>
      <c r="I9" s="1748"/>
      <c r="J9" s="1748"/>
      <c r="K9" s="1839"/>
      <c r="L9" s="1839"/>
      <c r="M9" s="1840"/>
      <c r="N9" s="1839"/>
      <c r="O9" s="1839"/>
      <c r="P9" s="1841"/>
      <c r="Q9" s="1841"/>
      <c r="R9" s="1841"/>
      <c r="S9" s="1841"/>
      <c r="T9" s="1842"/>
      <c r="U9" s="1842"/>
      <c r="V9" s="1836"/>
      <c r="W9" s="1836"/>
      <c r="X9" s="1843"/>
      <c r="Y9" s="1748"/>
    </row>
    <row r="10" spans="1:25" ht="27.6">
      <c r="A10" s="1790"/>
      <c r="B10" s="1793">
        <v>51020010001</v>
      </c>
      <c r="C10" s="1794" t="s">
        <v>117</v>
      </c>
      <c r="D10" s="217" t="s">
        <v>2838</v>
      </c>
      <c r="E10" s="1836"/>
      <c r="F10" s="375"/>
      <c r="G10" s="458"/>
      <c r="H10" s="375"/>
      <c r="I10" s="1748"/>
      <c r="J10" s="1748"/>
      <c r="K10" s="1839">
        <f>K11</f>
        <v>1</v>
      </c>
      <c r="L10" s="1839"/>
      <c r="M10" s="1840"/>
      <c r="N10" s="1839"/>
      <c r="O10" s="1839"/>
      <c r="P10" s="1841"/>
      <c r="Q10" s="1841"/>
      <c r="R10" s="1841"/>
      <c r="S10" s="1841"/>
      <c r="T10" s="1842"/>
      <c r="U10" s="1842"/>
      <c r="V10" s="1836"/>
      <c r="W10" s="1836"/>
      <c r="X10" s="1843"/>
      <c r="Y10" s="1748"/>
    </row>
    <row r="11" spans="1:25">
      <c r="A11" s="2928">
        <v>4148</v>
      </c>
      <c r="B11" s="2928"/>
      <c r="C11" s="2928" t="s">
        <v>123</v>
      </c>
      <c r="D11" s="3033" t="s">
        <v>2839</v>
      </c>
      <c r="E11" s="1746" t="s">
        <v>2840</v>
      </c>
      <c r="F11" s="1836"/>
      <c r="G11" s="1836"/>
      <c r="H11" s="1844"/>
      <c r="I11" s="1837"/>
      <c r="J11" s="1837"/>
      <c r="K11" s="459">
        <f>K14</f>
        <v>1</v>
      </c>
      <c r="L11" s="1845">
        <f>SUM(L12:L14)</f>
        <v>1</v>
      </c>
      <c r="M11" s="1846"/>
      <c r="N11" s="1869">
        <f>SUM(N12:N14)</f>
        <v>1.7000000000000001E-2</v>
      </c>
      <c r="O11" s="3169">
        <f>IF(Q11&gt;0,N11,"na")</f>
        <v>1.7000000000000001E-2</v>
      </c>
      <c r="P11" s="467">
        <f>SUM(P12:P14)</f>
        <v>8500000000</v>
      </c>
      <c r="Q11" s="467">
        <f t="shared" ref="Q11:S11" si="0">SUM(Q12:Q14)</f>
        <v>9190876476</v>
      </c>
      <c r="R11" s="467">
        <f t="shared" si="0"/>
        <v>83555000</v>
      </c>
      <c r="S11" s="467">
        <f t="shared" si="0"/>
        <v>58963000</v>
      </c>
      <c r="T11" s="1874">
        <f t="shared" ref="T11:U14" si="1">IF(Q11=0,0,R11/Q11)</f>
        <v>9.0910807275221186E-3</v>
      </c>
      <c r="U11" s="1874">
        <f t="shared" si="1"/>
        <v>0.70567889414158336</v>
      </c>
      <c r="V11" s="1795"/>
      <c r="W11" s="1795"/>
      <c r="X11" s="1847"/>
      <c r="Y11" s="3176" t="s">
        <v>2841</v>
      </c>
    </row>
    <row r="12" spans="1:25" ht="92.4">
      <c r="A12" s="2928"/>
      <c r="B12" s="2928"/>
      <c r="C12" s="2928"/>
      <c r="D12" s="3033"/>
      <c r="E12" s="1746" t="s">
        <v>2842</v>
      </c>
      <c r="F12" s="1836"/>
      <c r="G12" s="1836"/>
      <c r="H12" s="1848"/>
      <c r="I12" s="464" t="s">
        <v>2843</v>
      </c>
      <c r="J12" s="464" t="s">
        <v>124</v>
      </c>
      <c r="K12" s="1849">
        <v>1</v>
      </c>
      <c r="L12" s="1845">
        <v>0.12</v>
      </c>
      <c r="M12" s="1846">
        <v>0</v>
      </c>
      <c r="N12" s="1869">
        <v>1.7000000000000001E-2</v>
      </c>
      <c r="O12" s="3169"/>
      <c r="P12" s="467">
        <v>981463000</v>
      </c>
      <c r="Q12" s="467">
        <v>981463000</v>
      </c>
      <c r="R12" s="467">
        <v>83555000</v>
      </c>
      <c r="S12" s="467">
        <v>58963000</v>
      </c>
      <c r="T12" s="1874">
        <f t="shared" si="1"/>
        <v>8.5133112506533618E-2</v>
      </c>
      <c r="U12" s="1874">
        <f t="shared" si="1"/>
        <v>0.70567889414158336</v>
      </c>
      <c r="V12" s="1851">
        <v>45323</v>
      </c>
      <c r="W12" s="1851">
        <v>45412</v>
      </c>
      <c r="X12" s="1852" t="s">
        <v>2844</v>
      </c>
      <c r="Y12" s="3176"/>
    </row>
    <row r="13" spans="1:25" ht="39.6">
      <c r="A13" s="2928"/>
      <c r="B13" s="2928"/>
      <c r="C13" s="2928"/>
      <c r="D13" s="3033"/>
      <c r="E13" s="1746" t="s">
        <v>2845</v>
      </c>
      <c r="F13" s="1748"/>
      <c r="G13" s="1837"/>
      <c r="H13" s="1838"/>
      <c r="I13" s="464" t="s">
        <v>2846</v>
      </c>
      <c r="J13" s="464" t="s">
        <v>2847</v>
      </c>
      <c r="K13" s="1853">
        <v>4</v>
      </c>
      <c r="L13" s="1026">
        <v>0.06</v>
      </c>
      <c r="M13" s="1854">
        <v>0</v>
      </c>
      <c r="N13" s="1870">
        <v>0</v>
      </c>
      <c r="O13" s="3169"/>
      <c r="P13" s="467">
        <v>513537000</v>
      </c>
      <c r="Q13" s="467">
        <v>513537000</v>
      </c>
      <c r="R13" s="467">
        <v>0</v>
      </c>
      <c r="S13" s="467">
        <v>0</v>
      </c>
      <c r="T13" s="1874">
        <f t="shared" si="1"/>
        <v>0</v>
      </c>
      <c r="U13" s="1874">
        <f t="shared" si="1"/>
        <v>0</v>
      </c>
      <c r="V13" s="1855"/>
      <c r="W13" s="1855"/>
      <c r="X13" s="1034"/>
      <c r="Y13" s="3176"/>
    </row>
    <row r="14" spans="1:25" ht="92.4">
      <c r="A14" s="2928"/>
      <c r="B14" s="2928"/>
      <c r="C14" s="2928"/>
      <c r="D14" s="3033"/>
      <c r="E14" s="1746" t="s">
        <v>2848</v>
      </c>
      <c r="F14" s="1748"/>
      <c r="G14" s="464" t="s">
        <v>2838</v>
      </c>
      <c r="H14" s="393"/>
      <c r="I14" s="464" t="s">
        <v>2849</v>
      </c>
      <c r="J14" s="464" t="s">
        <v>2850</v>
      </c>
      <c r="K14" s="1853">
        <v>1</v>
      </c>
      <c r="L14" s="1026">
        <v>0.82</v>
      </c>
      <c r="M14" s="1854">
        <v>0</v>
      </c>
      <c r="N14" s="1870">
        <v>0</v>
      </c>
      <c r="O14" s="3169"/>
      <c r="P14" s="467">
        <v>7005000000</v>
      </c>
      <c r="Q14" s="467">
        <v>7695876476</v>
      </c>
      <c r="R14" s="467">
        <v>0</v>
      </c>
      <c r="S14" s="467">
        <v>0</v>
      </c>
      <c r="T14" s="1874">
        <f t="shared" si="1"/>
        <v>0</v>
      </c>
      <c r="U14" s="1874">
        <f t="shared" si="1"/>
        <v>0</v>
      </c>
      <c r="V14" s="1855"/>
      <c r="W14" s="1855"/>
      <c r="X14" s="1034"/>
      <c r="Y14" s="3176"/>
    </row>
    <row r="15" spans="1:25" ht="27.6">
      <c r="A15" s="455"/>
      <c r="B15" s="462">
        <v>51020010005</v>
      </c>
      <c r="C15" s="462" t="s">
        <v>117</v>
      </c>
      <c r="D15" s="458" t="s">
        <v>2851</v>
      </c>
      <c r="E15" s="450"/>
      <c r="F15" s="455"/>
      <c r="G15" s="450"/>
      <c r="H15" s="1850"/>
      <c r="I15" s="458"/>
      <c r="J15" s="458"/>
      <c r="K15" s="1856">
        <f>K16</f>
        <v>5</v>
      </c>
      <c r="L15" s="1856"/>
      <c r="M15" s="1857"/>
      <c r="N15" s="1871"/>
      <c r="O15" s="1871"/>
      <c r="P15" s="451"/>
      <c r="Q15" s="451"/>
      <c r="R15" s="451"/>
      <c r="S15" s="451"/>
      <c r="T15" s="1875"/>
      <c r="U15" s="1875"/>
      <c r="V15" s="1858"/>
      <c r="W15" s="1858"/>
      <c r="X15" s="1852"/>
      <c r="Y15" s="458"/>
    </row>
    <row r="16" spans="1:25">
      <c r="A16" s="3026">
        <v>4148</v>
      </c>
      <c r="B16" s="2928"/>
      <c r="C16" s="3040" t="s">
        <v>123</v>
      </c>
      <c r="D16" s="3033" t="s">
        <v>2852</v>
      </c>
      <c r="E16" s="1799" t="s">
        <v>2853</v>
      </c>
      <c r="F16" s="556"/>
      <c r="G16" s="583"/>
      <c r="H16" s="556"/>
      <c r="I16" s="1800"/>
      <c r="J16" s="1800"/>
      <c r="K16" s="1853">
        <f>K17</f>
        <v>5</v>
      </c>
      <c r="L16" s="1853"/>
      <c r="M16" s="1854"/>
      <c r="N16" s="1870">
        <f>N17</f>
        <v>0.05</v>
      </c>
      <c r="O16" s="3169">
        <f>IF(Q16&gt;0,N16,"na")</f>
        <v>0.05</v>
      </c>
      <c r="P16" s="467">
        <f>P17</f>
        <v>5338208204</v>
      </c>
      <c r="Q16" s="467">
        <f t="shared" ref="Q16:S16" si="2">Q17</f>
        <v>5338208204</v>
      </c>
      <c r="R16" s="467">
        <f t="shared" si="2"/>
        <v>40056500</v>
      </c>
      <c r="S16" s="467">
        <f t="shared" si="2"/>
        <v>15518500</v>
      </c>
      <c r="T16" s="1874">
        <f>IF(Q16=0,0,R16/Q16)</f>
        <v>7.5037350491472142E-3</v>
      </c>
      <c r="U16" s="1874">
        <f>IF(R16=0,0,S16/R16)</f>
        <v>0.38741527592275909</v>
      </c>
      <c r="V16" s="1795"/>
      <c r="W16" s="1795"/>
      <c r="X16" s="1847"/>
      <c r="Y16" s="3176" t="s">
        <v>2841</v>
      </c>
    </row>
    <row r="17" spans="1:25" ht="118.8">
      <c r="A17" s="3026"/>
      <c r="B17" s="2928"/>
      <c r="C17" s="3040"/>
      <c r="D17" s="3033"/>
      <c r="E17" s="1799" t="s">
        <v>2854</v>
      </c>
      <c r="F17" s="556"/>
      <c r="G17" s="583" t="s">
        <v>2851</v>
      </c>
      <c r="H17" s="1801"/>
      <c r="I17" s="1802" t="s">
        <v>2855</v>
      </c>
      <c r="J17" s="1803" t="s">
        <v>2856</v>
      </c>
      <c r="K17" s="1853">
        <v>5</v>
      </c>
      <c r="L17" s="1859">
        <v>1</v>
      </c>
      <c r="M17" s="389">
        <v>0</v>
      </c>
      <c r="N17" s="384">
        <v>0.05</v>
      </c>
      <c r="O17" s="3169"/>
      <c r="P17" s="467">
        <v>5338208204</v>
      </c>
      <c r="Q17" s="467">
        <v>5338208204</v>
      </c>
      <c r="R17" s="467">
        <v>40056500</v>
      </c>
      <c r="S17" s="467">
        <v>15518500</v>
      </c>
      <c r="T17" s="1874">
        <f>IF(Q17=0,0,R17/Q17)</f>
        <v>7.5037350491472142E-3</v>
      </c>
      <c r="U17" s="1874">
        <f>IF(R17=0,0,S17/R17)</f>
        <v>0.38741527592275909</v>
      </c>
      <c r="V17" s="1851">
        <v>45323</v>
      </c>
      <c r="W17" s="1851">
        <v>45412</v>
      </c>
      <c r="X17" s="1034" t="s">
        <v>2857</v>
      </c>
      <c r="Y17" s="3176"/>
    </row>
    <row r="18" spans="1:25">
      <c r="A18" s="555"/>
      <c r="B18" s="214">
        <v>5103</v>
      </c>
      <c r="C18" s="214" t="s">
        <v>115</v>
      </c>
      <c r="D18" s="1804" t="s">
        <v>2858</v>
      </c>
      <c r="E18" s="1799"/>
      <c r="F18" s="556"/>
      <c r="G18" s="583"/>
      <c r="H18" s="556"/>
      <c r="I18" s="1802"/>
      <c r="J18" s="1803"/>
      <c r="K18" s="1805"/>
      <c r="L18" s="1806"/>
      <c r="M18" s="1807"/>
      <c r="N18" s="1872"/>
      <c r="O18" s="1872"/>
      <c r="P18" s="1888"/>
      <c r="Q18" s="1888"/>
      <c r="R18" s="1888"/>
      <c r="S18" s="1888"/>
      <c r="T18" s="1876"/>
      <c r="U18" s="1876"/>
      <c r="V18" s="1808"/>
      <c r="W18" s="1808"/>
      <c r="X18" s="1860"/>
      <c r="Y18" s="590"/>
    </row>
    <row r="19" spans="1:25">
      <c r="A19" s="555"/>
      <c r="B19" s="214">
        <v>5103001</v>
      </c>
      <c r="C19" s="214" t="s">
        <v>116</v>
      </c>
      <c r="D19" s="1804" t="s">
        <v>2859</v>
      </c>
      <c r="E19" s="1809"/>
      <c r="F19" s="556"/>
      <c r="G19" s="583"/>
      <c r="H19" s="556"/>
      <c r="I19" s="1802"/>
      <c r="J19" s="1803"/>
      <c r="K19" s="1810"/>
      <c r="L19" s="1806"/>
      <c r="M19" s="1807"/>
      <c r="N19" s="1872"/>
      <c r="O19" s="1872"/>
      <c r="P19" s="1888"/>
      <c r="Q19" s="1888"/>
      <c r="R19" s="1888"/>
      <c r="S19" s="1888"/>
      <c r="T19" s="1876"/>
      <c r="U19" s="1876"/>
      <c r="V19" s="1808"/>
      <c r="W19" s="1808"/>
      <c r="X19" s="1860"/>
      <c r="Y19" s="590"/>
    </row>
    <row r="20" spans="1:25">
      <c r="A20" s="555"/>
      <c r="B20" s="223">
        <v>51030010004</v>
      </c>
      <c r="C20" s="222" t="s">
        <v>117</v>
      </c>
      <c r="D20" s="1811" t="s">
        <v>2860</v>
      </c>
      <c r="E20" s="1809"/>
      <c r="F20" s="556"/>
      <c r="G20" s="583"/>
      <c r="H20" s="556"/>
      <c r="I20" s="1802"/>
      <c r="J20" s="1803"/>
      <c r="K20" s="812">
        <f>K21+K24+K26</f>
        <v>7</v>
      </c>
      <c r="L20" s="1806"/>
      <c r="M20" s="1807"/>
      <c r="N20" s="1872"/>
      <c r="O20" s="1872"/>
      <c r="P20" s="1888"/>
      <c r="Q20" s="1888"/>
      <c r="R20" s="1888"/>
      <c r="S20" s="1888"/>
      <c r="T20" s="1876"/>
      <c r="U20" s="1876"/>
      <c r="V20" s="1795"/>
      <c r="W20" s="1795"/>
      <c r="X20" s="1847"/>
      <c r="Y20" s="590"/>
    </row>
    <row r="21" spans="1:25">
      <c r="A21" s="2928">
        <v>4148</v>
      </c>
      <c r="B21" s="2928"/>
      <c r="C21" s="2928" t="s">
        <v>123</v>
      </c>
      <c r="D21" s="3033" t="s">
        <v>2861</v>
      </c>
      <c r="E21" s="1746" t="s">
        <v>2862</v>
      </c>
      <c r="F21" s="556"/>
      <c r="G21" s="583"/>
      <c r="H21" s="556"/>
      <c r="I21" s="583"/>
      <c r="J21" s="1800"/>
      <c r="K21" s="812">
        <f>K22</f>
        <v>2</v>
      </c>
      <c r="L21" s="589">
        <f>L22</f>
        <v>1</v>
      </c>
      <c r="M21" s="567"/>
      <c r="N21" s="562">
        <f>N22</f>
        <v>0</v>
      </c>
      <c r="O21" s="3169">
        <f>IF(Q21&gt;0,N21,"na")</f>
        <v>0</v>
      </c>
      <c r="P21" s="1888">
        <f>P22</f>
        <v>562222557</v>
      </c>
      <c r="Q21" s="1888">
        <f t="shared" ref="Q21:S21" si="3">Q22</f>
        <v>562222557</v>
      </c>
      <c r="R21" s="1888">
        <f t="shared" si="3"/>
        <v>0</v>
      </c>
      <c r="S21" s="1888">
        <f t="shared" si="3"/>
        <v>0</v>
      </c>
      <c r="T21" s="1874">
        <f t="shared" ref="T21:U27" si="4">IF(Q21=0,0,R21/Q21)</f>
        <v>0</v>
      </c>
      <c r="U21" s="1874">
        <f t="shared" si="4"/>
        <v>0</v>
      </c>
      <c r="V21" s="1795">
        <v>45458</v>
      </c>
      <c r="W21" s="1795">
        <v>45626</v>
      </c>
      <c r="X21" s="1847"/>
      <c r="Y21" s="3026" t="s">
        <v>2863</v>
      </c>
    </row>
    <row r="22" spans="1:25" ht="52.8">
      <c r="A22" s="2928"/>
      <c r="B22" s="2928"/>
      <c r="C22" s="2928"/>
      <c r="D22" s="3033"/>
      <c r="E22" s="1746" t="s">
        <v>2864</v>
      </c>
      <c r="F22" s="556"/>
      <c r="G22" s="583" t="s">
        <v>2860</v>
      </c>
      <c r="H22" s="556"/>
      <c r="I22" s="583" t="s">
        <v>2865</v>
      </c>
      <c r="J22" s="1800" t="s">
        <v>2866</v>
      </c>
      <c r="K22" s="812">
        <v>2</v>
      </c>
      <c r="L22" s="589">
        <v>1</v>
      </c>
      <c r="M22" s="567">
        <v>0</v>
      </c>
      <c r="N22" s="562">
        <v>0</v>
      </c>
      <c r="O22" s="3169"/>
      <c r="P22" s="1888">
        <v>562222557</v>
      </c>
      <c r="Q22" s="1888">
        <v>562222557</v>
      </c>
      <c r="R22" s="1888">
        <v>0</v>
      </c>
      <c r="S22" s="1888">
        <v>0</v>
      </c>
      <c r="T22" s="1874">
        <f t="shared" si="4"/>
        <v>0</v>
      </c>
      <c r="U22" s="1874">
        <f t="shared" si="4"/>
        <v>0</v>
      </c>
      <c r="V22" s="1795"/>
      <c r="W22" s="1795"/>
      <c r="X22" s="1847"/>
      <c r="Y22" s="3026"/>
    </row>
    <row r="23" spans="1:25">
      <c r="A23" s="2928">
        <v>4148</v>
      </c>
      <c r="B23" s="2928"/>
      <c r="C23" s="2928" t="s">
        <v>123</v>
      </c>
      <c r="D23" s="3033" t="s">
        <v>2867</v>
      </c>
      <c r="E23" s="1746" t="s">
        <v>2868</v>
      </c>
      <c r="F23" s="556"/>
      <c r="G23" s="583"/>
      <c r="H23" s="556"/>
      <c r="I23" s="583"/>
      <c r="J23" s="1800"/>
      <c r="K23" s="557">
        <f>K24</f>
        <v>1</v>
      </c>
      <c r="L23" s="589">
        <f>L24</f>
        <v>1</v>
      </c>
      <c r="M23" s="567"/>
      <c r="N23" s="562">
        <f>N24</f>
        <v>7.0000000000000001E-3</v>
      </c>
      <c r="O23" s="3169">
        <f>IF(Q23&gt;0,N23,"na")</f>
        <v>7.0000000000000001E-3</v>
      </c>
      <c r="P23" s="1888">
        <f>P24</f>
        <v>730001730</v>
      </c>
      <c r="Q23" s="1888">
        <f t="shared" ref="Q23:S23" si="5">Q24</f>
        <v>730001730</v>
      </c>
      <c r="R23" s="1888">
        <f t="shared" si="5"/>
        <v>164680000</v>
      </c>
      <c r="S23" s="1888">
        <f t="shared" si="5"/>
        <v>9840000</v>
      </c>
      <c r="T23" s="1874">
        <f t="shared" si="4"/>
        <v>0.22558850648203257</v>
      </c>
      <c r="U23" s="1874">
        <f t="shared" si="4"/>
        <v>5.9752246781637111E-2</v>
      </c>
      <c r="V23" s="1795"/>
      <c r="W23" s="1795"/>
      <c r="X23" s="1847"/>
      <c r="Y23" s="3175" t="s">
        <v>2841</v>
      </c>
    </row>
    <row r="24" spans="1:25" ht="132">
      <c r="A24" s="2928"/>
      <c r="B24" s="2928"/>
      <c r="C24" s="2928"/>
      <c r="D24" s="3033"/>
      <c r="E24" s="1746" t="s">
        <v>2869</v>
      </c>
      <c r="F24" s="556"/>
      <c r="G24" s="583" t="s">
        <v>2860</v>
      </c>
      <c r="H24" s="556"/>
      <c r="I24" s="583" t="s">
        <v>2870</v>
      </c>
      <c r="J24" s="1800" t="s">
        <v>2847</v>
      </c>
      <c r="K24" s="557">
        <v>1</v>
      </c>
      <c r="L24" s="589">
        <v>1</v>
      </c>
      <c r="M24" s="567">
        <v>0</v>
      </c>
      <c r="N24" s="562">
        <v>7.0000000000000001E-3</v>
      </c>
      <c r="O24" s="3169"/>
      <c r="P24" s="1888">
        <v>730001730</v>
      </c>
      <c r="Q24" s="1888">
        <v>730001730</v>
      </c>
      <c r="R24" s="1888">
        <v>164680000</v>
      </c>
      <c r="S24" s="1888">
        <v>9840000</v>
      </c>
      <c r="T24" s="1874">
        <f t="shared" si="4"/>
        <v>0.22558850648203257</v>
      </c>
      <c r="U24" s="1874">
        <f t="shared" si="4"/>
        <v>5.9752246781637111E-2</v>
      </c>
      <c r="V24" s="1795">
        <v>45338</v>
      </c>
      <c r="W24" s="1795">
        <v>45412</v>
      </c>
      <c r="X24" s="1847" t="s">
        <v>2871</v>
      </c>
      <c r="Y24" s="3175"/>
    </row>
    <row r="25" spans="1:25">
      <c r="A25" s="2936">
        <v>4148</v>
      </c>
      <c r="B25" s="2928"/>
      <c r="C25" s="2928" t="s">
        <v>123</v>
      </c>
      <c r="D25" s="3033" t="s">
        <v>2872</v>
      </c>
      <c r="E25" s="1746" t="s">
        <v>2873</v>
      </c>
      <c r="F25" s="556"/>
      <c r="G25" s="583"/>
      <c r="H25" s="556"/>
      <c r="I25" s="1800"/>
      <c r="J25" s="1800"/>
      <c r="K25" s="557">
        <f>K27</f>
        <v>4</v>
      </c>
      <c r="L25" s="589">
        <f>SUM(L26:L27)</f>
        <v>1</v>
      </c>
      <c r="M25" s="567"/>
      <c r="N25" s="562">
        <f>SUM(N26:N27)</f>
        <v>3.7999999999999999E-2</v>
      </c>
      <c r="O25" s="3169">
        <f>IF(Q25&gt;0,N25,"na")</f>
        <v>3.7999999999999999E-2</v>
      </c>
      <c r="P25" s="1888">
        <f>SUM(P26:P27)</f>
        <v>3528809718</v>
      </c>
      <c r="Q25" s="1888">
        <f t="shared" ref="Q25:S25" si="6">SUM(Q26:Q27)</f>
        <v>3528809718</v>
      </c>
      <c r="R25" s="1888">
        <f t="shared" si="6"/>
        <v>110682000</v>
      </c>
      <c r="S25" s="1888">
        <f t="shared" si="6"/>
        <v>56400000</v>
      </c>
      <c r="T25" s="1874">
        <f t="shared" si="4"/>
        <v>3.1365250281256453E-2</v>
      </c>
      <c r="U25" s="1874">
        <f t="shared" si="4"/>
        <v>0.5095679514284166</v>
      </c>
      <c r="V25" s="1795"/>
      <c r="W25" s="1795"/>
      <c r="X25" s="1847"/>
      <c r="Y25" s="2926" t="s">
        <v>2841</v>
      </c>
    </row>
    <row r="26" spans="1:25" ht="105.6">
      <c r="A26" s="2936"/>
      <c r="B26" s="2928"/>
      <c r="C26" s="2928"/>
      <c r="D26" s="3033"/>
      <c r="E26" s="1746" t="s">
        <v>2874</v>
      </c>
      <c r="F26" s="556"/>
      <c r="G26" s="583"/>
      <c r="H26" s="556"/>
      <c r="I26" s="583" t="s">
        <v>2875</v>
      </c>
      <c r="J26" s="583" t="s">
        <v>124</v>
      </c>
      <c r="K26" s="557">
        <v>4</v>
      </c>
      <c r="L26" s="589">
        <v>0.35</v>
      </c>
      <c r="M26" s="567">
        <v>0</v>
      </c>
      <c r="N26" s="562">
        <v>3.7999999999999999E-2</v>
      </c>
      <c r="O26" s="3169"/>
      <c r="P26" s="1888">
        <v>873800000</v>
      </c>
      <c r="Q26" s="1888">
        <v>873800000</v>
      </c>
      <c r="R26" s="1888">
        <v>110682000</v>
      </c>
      <c r="S26" s="1888">
        <v>56400000</v>
      </c>
      <c r="T26" s="1874">
        <f t="shared" si="4"/>
        <v>0.12666742961776151</v>
      </c>
      <c r="U26" s="1874">
        <f t="shared" si="4"/>
        <v>0.5095679514284166</v>
      </c>
      <c r="V26" s="1795" t="s">
        <v>2876</v>
      </c>
      <c r="W26" s="1795">
        <v>45412</v>
      </c>
      <c r="X26" s="1800" t="s">
        <v>2877</v>
      </c>
      <c r="Y26" s="2926"/>
    </row>
    <row r="27" spans="1:25" ht="52.8">
      <c r="A27" s="2936"/>
      <c r="B27" s="2928"/>
      <c r="C27" s="2928"/>
      <c r="D27" s="3033"/>
      <c r="E27" s="1746" t="s">
        <v>2878</v>
      </c>
      <c r="F27" s="556"/>
      <c r="G27" s="583" t="s">
        <v>2860</v>
      </c>
      <c r="H27" s="556"/>
      <c r="I27" s="583" t="s">
        <v>2879</v>
      </c>
      <c r="J27" s="1800" t="s">
        <v>2847</v>
      </c>
      <c r="K27" s="557">
        <v>4</v>
      </c>
      <c r="L27" s="589">
        <v>0.65</v>
      </c>
      <c r="M27" s="567">
        <v>0</v>
      </c>
      <c r="N27" s="562">
        <v>0</v>
      </c>
      <c r="O27" s="3169"/>
      <c r="P27" s="1888">
        <v>2655009718</v>
      </c>
      <c r="Q27" s="1888">
        <v>2655009718</v>
      </c>
      <c r="R27" s="1888">
        <v>0</v>
      </c>
      <c r="S27" s="1888">
        <v>0</v>
      </c>
      <c r="T27" s="1874">
        <f t="shared" si="4"/>
        <v>0</v>
      </c>
      <c r="U27" s="1874">
        <f t="shared" si="4"/>
        <v>0</v>
      </c>
      <c r="V27" s="1795"/>
      <c r="W27" s="1795"/>
      <c r="X27" s="1800"/>
      <c r="Y27" s="2926"/>
    </row>
    <row r="28" spans="1:25">
      <c r="A28" s="214"/>
      <c r="B28" s="222">
        <v>51030010005</v>
      </c>
      <c r="C28" s="222" t="s">
        <v>117</v>
      </c>
      <c r="D28" s="1812" t="s">
        <v>2880</v>
      </c>
      <c r="E28" s="549"/>
      <c r="F28" s="556"/>
      <c r="G28" s="583"/>
      <c r="H28" s="556"/>
      <c r="I28" s="1800"/>
      <c r="J28" s="1800"/>
      <c r="K28" s="557">
        <f>K29</f>
        <v>25</v>
      </c>
      <c r="L28" s="589"/>
      <c r="M28" s="567"/>
      <c r="N28" s="562"/>
      <c r="O28" s="562"/>
      <c r="P28" s="557"/>
      <c r="Q28" s="557"/>
      <c r="R28" s="557"/>
      <c r="S28" s="557"/>
      <c r="T28" s="562"/>
      <c r="U28" s="562"/>
      <c r="V28" s="1795"/>
      <c r="W28" s="1795"/>
      <c r="X28" s="1800"/>
      <c r="Y28" s="555"/>
    </row>
    <row r="29" spans="1:25">
      <c r="A29" s="2928">
        <v>4148</v>
      </c>
      <c r="B29" s="2928"/>
      <c r="C29" s="2928" t="s">
        <v>123</v>
      </c>
      <c r="D29" s="3033" t="s">
        <v>2881</v>
      </c>
      <c r="E29" s="1746" t="s">
        <v>2882</v>
      </c>
      <c r="F29" s="556"/>
      <c r="G29" s="1813"/>
      <c r="H29" s="556"/>
      <c r="I29" s="1800"/>
      <c r="J29" s="1800"/>
      <c r="K29" s="557">
        <f>K30</f>
        <v>25</v>
      </c>
      <c r="L29" s="589">
        <f>SUM(L30:L31)</f>
        <v>1</v>
      </c>
      <c r="M29" s="567"/>
      <c r="N29" s="562">
        <f>SUM(N30:N31)</f>
        <v>0</v>
      </c>
      <c r="O29" s="3169">
        <f>IF(Q29&gt;0,N29,"na")</f>
        <v>0</v>
      </c>
      <c r="P29" s="1888">
        <f>SUM(P30:P31)</f>
        <v>274181900</v>
      </c>
      <c r="Q29" s="1888">
        <f t="shared" ref="Q29:S29" si="7">SUM(Q30:Q31)</f>
        <v>274181900</v>
      </c>
      <c r="R29" s="1888">
        <f t="shared" si="7"/>
        <v>198107300</v>
      </c>
      <c r="S29" s="1888">
        <f t="shared" si="7"/>
        <v>0</v>
      </c>
      <c r="T29" s="1874">
        <f t="shared" ref="T29:U31" si="8">IF(Q29=0,0,R29/Q29)</f>
        <v>0.72253967165593358</v>
      </c>
      <c r="U29" s="1874">
        <f t="shared" si="8"/>
        <v>0</v>
      </c>
      <c r="V29" s="1795"/>
      <c r="W29" s="1795"/>
      <c r="X29" s="1847"/>
      <c r="Y29" s="2926" t="s">
        <v>2841</v>
      </c>
    </row>
    <row r="30" spans="1:25" ht="66">
      <c r="A30" s="2928"/>
      <c r="B30" s="2928"/>
      <c r="C30" s="2928"/>
      <c r="D30" s="3033"/>
      <c r="E30" s="549" t="s">
        <v>2883</v>
      </c>
      <c r="F30" s="556"/>
      <c r="G30" s="1813" t="s">
        <v>2880</v>
      </c>
      <c r="H30" s="556"/>
      <c r="I30" s="583" t="s">
        <v>2884</v>
      </c>
      <c r="J30" s="583" t="s">
        <v>2885</v>
      </c>
      <c r="K30" s="557">
        <v>25</v>
      </c>
      <c r="L30" s="589">
        <v>0.95</v>
      </c>
      <c r="M30" s="567">
        <v>0</v>
      </c>
      <c r="N30" s="562">
        <v>0</v>
      </c>
      <c r="O30" s="3169"/>
      <c r="P30" s="1888">
        <v>269181900</v>
      </c>
      <c r="Q30" s="1888">
        <v>269181900</v>
      </c>
      <c r="R30" s="1888">
        <v>198107300</v>
      </c>
      <c r="S30" s="1888">
        <v>0</v>
      </c>
      <c r="T30" s="1874">
        <f t="shared" si="8"/>
        <v>0.73596070166679117</v>
      </c>
      <c r="U30" s="1874">
        <f t="shared" si="8"/>
        <v>0</v>
      </c>
      <c r="V30" s="1795">
        <v>45372</v>
      </c>
      <c r="W30" s="1795">
        <v>45413</v>
      </c>
      <c r="X30" s="1800"/>
      <c r="Y30" s="2926"/>
    </row>
    <row r="31" spans="1:25" ht="52.8">
      <c r="A31" s="2928"/>
      <c r="B31" s="2928"/>
      <c r="C31" s="2928"/>
      <c r="D31" s="3033"/>
      <c r="E31" s="549" t="s">
        <v>2886</v>
      </c>
      <c r="F31" s="556"/>
      <c r="G31" s="583"/>
      <c r="H31" s="556"/>
      <c r="I31" s="583" t="s">
        <v>2887</v>
      </c>
      <c r="J31" s="583" t="s">
        <v>2847</v>
      </c>
      <c r="K31" s="557">
        <v>15</v>
      </c>
      <c r="L31" s="589">
        <v>0.05</v>
      </c>
      <c r="M31" s="567">
        <v>0</v>
      </c>
      <c r="N31" s="562">
        <v>0</v>
      </c>
      <c r="O31" s="3169"/>
      <c r="P31" s="1888">
        <v>5000000</v>
      </c>
      <c r="Q31" s="1888">
        <v>5000000</v>
      </c>
      <c r="R31" s="1888">
        <v>0</v>
      </c>
      <c r="S31" s="1888">
        <v>0</v>
      </c>
      <c r="T31" s="1874">
        <f t="shared" si="8"/>
        <v>0</v>
      </c>
      <c r="U31" s="1874">
        <f t="shared" si="8"/>
        <v>0</v>
      </c>
      <c r="V31" s="1795"/>
      <c r="W31" s="1795"/>
      <c r="X31" s="1800"/>
      <c r="Y31" s="2926"/>
    </row>
    <row r="32" spans="1:25" ht="15.6">
      <c r="A32" s="555"/>
      <c r="B32" s="1791">
        <v>52</v>
      </c>
      <c r="C32" s="1791" t="s">
        <v>114</v>
      </c>
      <c r="D32" s="817" t="s">
        <v>162</v>
      </c>
      <c r="E32" s="549"/>
      <c r="F32" s="556"/>
      <c r="G32" s="583"/>
      <c r="H32" s="556"/>
      <c r="I32" s="1800"/>
      <c r="J32" s="1800"/>
      <c r="K32" s="557"/>
      <c r="L32" s="589"/>
      <c r="M32" s="567"/>
      <c r="N32" s="562"/>
      <c r="O32" s="562"/>
      <c r="P32" s="557"/>
      <c r="Q32" s="557"/>
      <c r="R32" s="557"/>
      <c r="S32" s="557"/>
      <c r="T32" s="562"/>
      <c r="U32" s="562"/>
      <c r="V32" s="1795"/>
      <c r="W32" s="1795"/>
      <c r="X32" s="1800"/>
      <c r="Y32" s="555"/>
    </row>
    <row r="33" spans="1:25">
      <c r="A33" s="555"/>
      <c r="B33" s="214">
        <v>5201</v>
      </c>
      <c r="C33" s="214" t="s">
        <v>115</v>
      </c>
      <c r="D33" s="215" t="s">
        <v>1358</v>
      </c>
      <c r="E33" s="549"/>
      <c r="F33" s="556"/>
      <c r="G33" s="583"/>
      <c r="H33" s="556"/>
      <c r="I33" s="1800"/>
      <c r="J33" s="1800"/>
      <c r="K33" s="557"/>
      <c r="L33" s="589"/>
      <c r="M33" s="567"/>
      <c r="N33" s="562"/>
      <c r="O33" s="562"/>
      <c r="P33" s="557"/>
      <c r="Q33" s="557"/>
      <c r="R33" s="557"/>
      <c r="S33" s="557"/>
      <c r="T33" s="562"/>
      <c r="U33" s="562"/>
      <c r="V33" s="1795"/>
      <c r="W33" s="1795"/>
      <c r="X33" s="1800"/>
      <c r="Y33" s="555"/>
    </row>
    <row r="34" spans="1:25">
      <c r="A34" s="555"/>
      <c r="B34" s="214">
        <v>5201005</v>
      </c>
      <c r="C34" s="214" t="s">
        <v>116</v>
      </c>
      <c r="D34" s="215" t="s">
        <v>2888</v>
      </c>
      <c r="E34" s="549"/>
      <c r="F34" s="556"/>
      <c r="G34" s="583"/>
      <c r="H34" s="556"/>
      <c r="I34" s="1800"/>
      <c r="J34" s="1800"/>
      <c r="K34" s="557"/>
      <c r="L34" s="589"/>
      <c r="M34" s="567"/>
      <c r="N34" s="562"/>
      <c r="O34" s="562"/>
      <c r="P34" s="557"/>
      <c r="Q34" s="557"/>
      <c r="R34" s="557"/>
      <c r="S34" s="557"/>
      <c r="T34" s="562"/>
      <c r="U34" s="562"/>
      <c r="V34" s="1795"/>
      <c r="W34" s="1795"/>
      <c r="X34" s="1800"/>
      <c r="Y34" s="555"/>
    </row>
    <row r="35" spans="1:25" ht="27.6">
      <c r="A35" s="555"/>
      <c r="B35" s="222">
        <v>52010050014</v>
      </c>
      <c r="C35" s="222" t="s">
        <v>117</v>
      </c>
      <c r="D35" s="217" t="s">
        <v>2889</v>
      </c>
      <c r="E35" s="549"/>
      <c r="F35" s="556"/>
      <c r="G35" s="583"/>
      <c r="H35" s="556"/>
      <c r="I35" s="1800"/>
      <c r="J35" s="1800"/>
      <c r="K35" s="557">
        <f>K36</f>
        <v>145</v>
      </c>
      <c r="L35" s="589"/>
      <c r="M35" s="567"/>
      <c r="N35" s="562"/>
      <c r="O35" s="562"/>
      <c r="P35" s="557"/>
      <c r="Q35" s="557"/>
      <c r="R35" s="557"/>
      <c r="S35" s="557"/>
      <c r="T35" s="562"/>
      <c r="U35" s="562"/>
      <c r="V35" s="1795"/>
      <c r="W35" s="1795"/>
      <c r="X35" s="1800"/>
      <c r="Y35" s="555"/>
    </row>
    <row r="36" spans="1:25">
      <c r="A36" s="2928">
        <v>4148</v>
      </c>
      <c r="B36" s="2928"/>
      <c r="C36" s="2928" t="s">
        <v>123</v>
      </c>
      <c r="D36" s="3033" t="s">
        <v>2890</v>
      </c>
      <c r="E36" s="1746" t="s">
        <v>2891</v>
      </c>
      <c r="F36" s="556"/>
      <c r="G36" s="583"/>
      <c r="H36" s="556"/>
      <c r="I36" s="1800"/>
      <c r="J36" s="1800"/>
      <c r="K36" s="557">
        <f>K38</f>
        <v>145</v>
      </c>
      <c r="L36" s="589">
        <f>SUM(L37:L38)</f>
        <v>1</v>
      </c>
      <c r="M36" s="567"/>
      <c r="N36" s="562">
        <f>SUM(N37:N38)</f>
        <v>0</v>
      </c>
      <c r="O36" s="3169">
        <f>IF(Q36&gt;0,N36,"na")</f>
        <v>0</v>
      </c>
      <c r="P36" s="557">
        <f>SUM(P37:P38)</f>
        <v>222216565</v>
      </c>
      <c r="Q36" s="557">
        <f t="shared" ref="Q36:S36" si="9">SUM(Q37:Q38)</f>
        <v>222216565</v>
      </c>
      <c r="R36" s="557">
        <f t="shared" si="9"/>
        <v>10938000</v>
      </c>
      <c r="S36" s="557">
        <f t="shared" si="9"/>
        <v>0</v>
      </c>
      <c r="T36" s="1874">
        <f t="shared" ref="T36:U38" si="10">IF(Q36=0,0,R36/Q36)</f>
        <v>4.922225307550767E-2</v>
      </c>
      <c r="U36" s="1874">
        <f t="shared" si="10"/>
        <v>0</v>
      </c>
      <c r="V36" s="1795"/>
      <c r="W36" s="1795"/>
      <c r="X36" s="1847"/>
      <c r="Y36" s="3174" t="s">
        <v>2863</v>
      </c>
    </row>
    <row r="37" spans="1:25" ht="52.8">
      <c r="A37" s="2928"/>
      <c r="B37" s="2928"/>
      <c r="C37" s="2928"/>
      <c r="D37" s="3033"/>
      <c r="E37" s="549" t="s">
        <v>2892</v>
      </c>
      <c r="F37" s="556"/>
      <c r="G37" s="583"/>
      <c r="H37" s="556"/>
      <c r="I37" s="583" t="s">
        <v>2893</v>
      </c>
      <c r="J37" s="583" t="s">
        <v>2847</v>
      </c>
      <c r="K37" s="557">
        <v>2</v>
      </c>
      <c r="L37" s="589">
        <v>0.45</v>
      </c>
      <c r="M37" s="567">
        <v>0</v>
      </c>
      <c r="N37" s="562">
        <v>0</v>
      </c>
      <c r="O37" s="3169"/>
      <c r="P37" s="1888">
        <v>145011571</v>
      </c>
      <c r="Q37" s="1888">
        <v>145011571</v>
      </c>
      <c r="R37" s="1888">
        <v>0</v>
      </c>
      <c r="S37" s="1888">
        <v>0</v>
      </c>
      <c r="T37" s="1874">
        <f t="shared" si="10"/>
        <v>0</v>
      </c>
      <c r="U37" s="1874">
        <f t="shared" si="10"/>
        <v>0</v>
      </c>
      <c r="V37" s="1795"/>
      <c r="W37" s="1795"/>
      <c r="X37" s="1800"/>
      <c r="Y37" s="3174"/>
    </row>
    <row r="38" spans="1:25" ht="92.4">
      <c r="A38" s="2928"/>
      <c r="B38" s="2928"/>
      <c r="C38" s="2928"/>
      <c r="D38" s="3033"/>
      <c r="E38" s="549" t="s">
        <v>2894</v>
      </c>
      <c r="F38" s="556"/>
      <c r="G38" s="583" t="s">
        <v>2889</v>
      </c>
      <c r="H38" s="556"/>
      <c r="I38" s="583" t="s">
        <v>2895</v>
      </c>
      <c r="J38" s="583" t="s">
        <v>2896</v>
      </c>
      <c r="K38" s="557">
        <v>145</v>
      </c>
      <c r="L38" s="589">
        <v>0.55000000000000004</v>
      </c>
      <c r="M38" s="567">
        <v>0</v>
      </c>
      <c r="N38" s="562">
        <v>0</v>
      </c>
      <c r="O38" s="3169"/>
      <c r="P38" s="1888">
        <v>77204994</v>
      </c>
      <c r="Q38" s="1888">
        <v>77204994</v>
      </c>
      <c r="R38" s="1888">
        <v>10938000</v>
      </c>
      <c r="S38" s="1888">
        <v>0</v>
      </c>
      <c r="T38" s="1874">
        <f t="shared" si="10"/>
        <v>0.1416747730075596</v>
      </c>
      <c r="U38" s="1874">
        <f t="shared" si="10"/>
        <v>0</v>
      </c>
      <c r="V38" s="1795">
        <v>45370</v>
      </c>
      <c r="W38" s="1795">
        <v>45412</v>
      </c>
      <c r="X38" s="1800"/>
      <c r="Y38" s="3174"/>
    </row>
    <row r="39" spans="1:25">
      <c r="A39" s="555"/>
      <c r="B39" s="214">
        <v>5202</v>
      </c>
      <c r="C39" s="214" t="s">
        <v>115</v>
      </c>
      <c r="D39" s="215" t="s">
        <v>1390</v>
      </c>
      <c r="E39" s="549"/>
      <c r="F39" s="556"/>
      <c r="G39" s="583"/>
      <c r="H39" s="556"/>
      <c r="I39" s="1800"/>
      <c r="J39" s="1800"/>
      <c r="K39" s="557"/>
      <c r="L39" s="589"/>
      <c r="M39" s="567"/>
      <c r="N39" s="562"/>
      <c r="O39" s="562"/>
      <c r="P39" s="557"/>
      <c r="Q39" s="557"/>
      <c r="R39" s="557"/>
      <c r="S39" s="557"/>
      <c r="T39" s="562"/>
      <c r="U39" s="562"/>
      <c r="V39" s="1795"/>
      <c r="W39" s="1795"/>
      <c r="X39" s="1800"/>
      <c r="Y39" s="555"/>
    </row>
    <row r="40" spans="1:25">
      <c r="A40" s="555"/>
      <c r="B40" s="214">
        <v>5202001</v>
      </c>
      <c r="C40" s="214" t="s">
        <v>116</v>
      </c>
      <c r="D40" s="215" t="s">
        <v>1748</v>
      </c>
      <c r="E40" s="549"/>
      <c r="F40" s="556"/>
      <c r="G40" s="583"/>
      <c r="H40" s="556"/>
      <c r="I40" s="1800"/>
      <c r="J40" s="1800"/>
      <c r="K40" s="557"/>
      <c r="L40" s="589"/>
      <c r="M40" s="567"/>
      <c r="N40" s="562"/>
      <c r="O40" s="562"/>
      <c r="P40" s="557"/>
      <c r="Q40" s="557"/>
      <c r="R40" s="557"/>
      <c r="S40" s="557"/>
      <c r="T40" s="562"/>
      <c r="U40" s="562"/>
      <c r="V40" s="1795"/>
      <c r="W40" s="1795"/>
      <c r="X40" s="1800"/>
      <c r="Y40" s="555"/>
    </row>
    <row r="41" spans="1:25" ht="27.6">
      <c r="A41" s="555"/>
      <c r="B41" s="222">
        <v>52020010008</v>
      </c>
      <c r="C41" s="222" t="s">
        <v>117</v>
      </c>
      <c r="D41" s="217" t="s">
        <v>2897</v>
      </c>
      <c r="E41" s="549"/>
      <c r="F41" s="556"/>
      <c r="G41" s="583"/>
      <c r="H41" s="556"/>
      <c r="I41" s="1800"/>
      <c r="J41" s="1800"/>
      <c r="K41" s="557">
        <f>K42</f>
        <v>128</v>
      </c>
      <c r="L41" s="589"/>
      <c r="M41" s="567"/>
      <c r="N41" s="562"/>
      <c r="O41" s="562"/>
      <c r="P41" s="557"/>
      <c r="Q41" s="557"/>
      <c r="R41" s="557"/>
      <c r="S41" s="557"/>
      <c r="T41" s="562"/>
      <c r="U41" s="562"/>
      <c r="V41" s="1795"/>
      <c r="W41" s="1795"/>
      <c r="X41" s="1800"/>
      <c r="Y41" s="555"/>
    </row>
    <row r="42" spans="1:25">
      <c r="A42" s="2928">
        <v>4148</v>
      </c>
      <c r="B42" s="2928"/>
      <c r="C42" s="2928" t="s">
        <v>123</v>
      </c>
      <c r="D42" s="3033" t="s">
        <v>2898</v>
      </c>
      <c r="E42" s="1746" t="s">
        <v>2899</v>
      </c>
      <c r="F42" s="556"/>
      <c r="G42" s="583"/>
      <c r="H42" s="556"/>
      <c r="I42" s="1800"/>
      <c r="J42" s="1800"/>
      <c r="K42" s="557">
        <f>K43</f>
        <v>128</v>
      </c>
      <c r="L42" s="589">
        <f>SUM(L43:L44)</f>
        <v>1</v>
      </c>
      <c r="M42" s="567"/>
      <c r="N42" s="562">
        <f>SUM(N43:N44)</f>
        <v>0</v>
      </c>
      <c r="O42" s="3169">
        <f>IF(Q42&gt;0,N42,"na")</f>
        <v>0</v>
      </c>
      <c r="P42" s="557">
        <f>SUM(P43:P44)</f>
        <v>68028480</v>
      </c>
      <c r="Q42" s="557">
        <f t="shared" ref="Q42:S42" si="11">SUM(Q43:Q44)</f>
        <v>68028480</v>
      </c>
      <c r="R42" s="557">
        <f t="shared" si="11"/>
        <v>10462000</v>
      </c>
      <c r="S42" s="557">
        <f t="shared" si="11"/>
        <v>5231000</v>
      </c>
      <c r="T42" s="1874">
        <f t="shared" ref="T42:U44" si="12">IF(Q42=0,0,R42/Q42)</f>
        <v>0.15378853092116712</v>
      </c>
      <c r="U42" s="1874">
        <f t="shared" si="12"/>
        <v>0.5</v>
      </c>
      <c r="V42" s="1795"/>
      <c r="W42" s="1795"/>
      <c r="X42" s="1847"/>
      <c r="Y42" s="2926" t="s">
        <v>2863</v>
      </c>
    </row>
    <row r="43" spans="1:25" ht="105.6">
      <c r="A43" s="2928"/>
      <c r="B43" s="2928"/>
      <c r="C43" s="2928"/>
      <c r="D43" s="3033"/>
      <c r="E43" s="549" t="s">
        <v>2900</v>
      </c>
      <c r="F43" s="556"/>
      <c r="G43" s="583" t="s">
        <v>2897</v>
      </c>
      <c r="H43" s="556"/>
      <c r="I43" s="583" t="s">
        <v>2901</v>
      </c>
      <c r="J43" s="1800" t="s">
        <v>2902</v>
      </c>
      <c r="K43" s="557">
        <v>128</v>
      </c>
      <c r="L43" s="589">
        <v>0.94</v>
      </c>
      <c r="M43" s="567">
        <v>0</v>
      </c>
      <c r="N43" s="562">
        <v>0</v>
      </c>
      <c r="O43" s="3169"/>
      <c r="P43" s="1888">
        <v>58028480</v>
      </c>
      <c r="Q43" s="1888">
        <v>58028480</v>
      </c>
      <c r="R43" s="1888">
        <v>10462000</v>
      </c>
      <c r="S43" s="1888">
        <v>5231000</v>
      </c>
      <c r="T43" s="1874">
        <f t="shared" si="12"/>
        <v>0.18029078135425916</v>
      </c>
      <c r="U43" s="1874">
        <f t="shared" si="12"/>
        <v>0.5</v>
      </c>
      <c r="V43" s="1795">
        <v>45363</v>
      </c>
      <c r="W43" s="1795">
        <v>45412</v>
      </c>
      <c r="X43" s="1800" t="s">
        <v>2903</v>
      </c>
      <c r="Y43" s="2926"/>
    </row>
    <row r="44" spans="1:25" ht="52.8">
      <c r="A44" s="2928"/>
      <c r="B44" s="2928"/>
      <c r="C44" s="2928"/>
      <c r="D44" s="3033"/>
      <c r="E44" s="549" t="s">
        <v>2904</v>
      </c>
      <c r="F44" s="556"/>
      <c r="G44" s="814"/>
      <c r="H44" s="556"/>
      <c r="I44" s="583" t="s">
        <v>2905</v>
      </c>
      <c r="J44" s="1800" t="s">
        <v>2906</v>
      </c>
      <c r="K44" s="557">
        <v>5</v>
      </c>
      <c r="L44" s="589">
        <v>0.06</v>
      </c>
      <c r="M44" s="567">
        <v>0</v>
      </c>
      <c r="N44" s="562">
        <v>0</v>
      </c>
      <c r="O44" s="3169"/>
      <c r="P44" s="1888">
        <v>10000000</v>
      </c>
      <c r="Q44" s="1888">
        <v>10000000</v>
      </c>
      <c r="R44" s="1888">
        <v>0</v>
      </c>
      <c r="S44" s="1888">
        <v>0</v>
      </c>
      <c r="T44" s="1874">
        <f t="shared" si="12"/>
        <v>0</v>
      </c>
      <c r="U44" s="1874">
        <f t="shared" si="12"/>
        <v>0</v>
      </c>
      <c r="V44" s="1795"/>
      <c r="W44" s="1795"/>
      <c r="X44" s="1800"/>
      <c r="Y44" s="2926"/>
    </row>
    <row r="45" spans="1:25" ht="27.6">
      <c r="A45" s="555"/>
      <c r="B45" s="222">
        <v>52020010009</v>
      </c>
      <c r="C45" s="222" t="s">
        <v>117</v>
      </c>
      <c r="D45" s="217" t="s">
        <v>2907</v>
      </c>
      <c r="E45" s="549"/>
      <c r="F45" s="556"/>
      <c r="G45" s="583"/>
      <c r="H45" s="556"/>
      <c r="I45" s="1800"/>
      <c r="J45" s="1800"/>
      <c r="K45" s="557">
        <f>K46</f>
        <v>3066</v>
      </c>
      <c r="L45" s="589"/>
      <c r="M45" s="567"/>
      <c r="N45" s="562"/>
      <c r="O45" s="562"/>
      <c r="P45" s="557"/>
      <c r="Q45" s="557"/>
      <c r="R45" s="557"/>
      <c r="S45" s="557"/>
      <c r="T45" s="562"/>
      <c r="U45" s="562"/>
      <c r="V45" s="1795"/>
      <c r="W45" s="1795"/>
      <c r="X45" s="1800"/>
      <c r="Y45" s="555"/>
    </row>
    <row r="46" spans="1:25">
      <c r="A46" s="2928">
        <v>4148</v>
      </c>
      <c r="B46" s="2928"/>
      <c r="C46" s="2928" t="s">
        <v>123</v>
      </c>
      <c r="D46" s="3033" t="s">
        <v>2908</v>
      </c>
      <c r="E46" s="1746" t="s">
        <v>2909</v>
      </c>
      <c r="F46" s="556"/>
      <c r="G46" s="583"/>
      <c r="H46" s="556"/>
      <c r="I46" s="1800"/>
      <c r="J46" s="1800"/>
      <c r="K46" s="557">
        <f>K47+K48</f>
        <v>3066</v>
      </c>
      <c r="L46" s="589">
        <f>SUM(L47:L48)</f>
        <v>1</v>
      </c>
      <c r="M46" s="567"/>
      <c r="N46" s="562">
        <f>SUM(N47:N48)</f>
        <v>0</v>
      </c>
      <c r="O46" s="3169">
        <f>IF(Q46&gt;0,N46,"na")</f>
        <v>0</v>
      </c>
      <c r="P46" s="557">
        <f>SUM(P47:P48)</f>
        <v>199998042</v>
      </c>
      <c r="Q46" s="557">
        <f t="shared" ref="Q46:S46" si="13">SUM(Q47:Q48)</f>
        <v>199998042</v>
      </c>
      <c r="R46" s="557">
        <f t="shared" si="13"/>
        <v>0</v>
      </c>
      <c r="S46" s="557">
        <f t="shared" si="13"/>
        <v>0</v>
      </c>
      <c r="T46" s="1874">
        <f t="shared" ref="T46:U48" si="14">IF(Q46=0,0,R46/Q46)</f>
        <v>0</v>
      </c>
      <c r="U46" s="1874">
        <f t="shared" si="14"/>
        <v>0</v>
      </c>
      <c r="V46" s="1795">
        <v>45306</v>
      </c>
      <c r="W46" s="1795">
        <v>45641</v>
      </c>
      <c r="X46" s="1847"/>
      <c r="Y46" s="3174" t="s">
        <v>2863</v>
      </c>
    </row>
    <row r="47" spans="1:25" ht="105.6">
      <c r="A47" s="2928"/>
      <c r="B47" s="2928"/>
      <c r="C47" s="2928"/>
      <c r="D47" s="3033"/>
      <c r="E47" s="549" t="s">
        <v>2910</v>
      </c>
      <c r="F47" s="556"/>
      <c r="G47" s="212" t="s">
        <v>2907</v>
      </c>
      <c r="H47" s="556"/>
      <c r="I47" s="583" t="s">
        <v>2911</v>
      </c>
      <c r="J47" s="1800" t="s">
        <v>2912</v>
      </c>
      <c r="K47" s="557">
        <v>2566</v>
      </c>
      <c r="L47" s="589">
        <v>0.91</v>
      </c>
      <c r="M47" s="567">
        <v>0</v>
      </c>
      <c r="N47" s="562">
        <v>0</v>
      </c>
      <c r="O47" s="3169"/>
      <c r="P47" s="1888">
        <v>181950617</v>
      </c>
      <c r="Q47" s="1888">
        <v>181950617</v>
      </c>
      <c r="R47" s="1888">
        <v>0</v>
      </c>
      <c r="S47" s="1888">
        <v>0</v>
      </c>
      <c r="T47" s="1874">
        <f t="shared" si="14"/>
        <v>0</v>
      </c>
      <c r="U47" s="1874">
        <f t="shared" si="14"/>
        <v>0</v>
      </c>
      <c r="V47" s="1795"/>
      <c r="W47" s="1795"/>
      <c r="X47" s="1800"/>
      <c r="Y47" s="3174"/>
    </row>
    <row r="48" spans="1:25" ht="105.6">
      <c r="A48" s="2928"/>
      <c r="B48" s="2928"/>
      <c r="C48" s="2928"/>
      <c r="D48" s="3033"/>
      <c r="E48" s="549" t="s">
        <v>2913</v>
      </c>
      <c r="F48" s="556"/>
      <c r="G48" s="212" t="s">
        <v>2907</v>
      </c>
      <c r="H48" s="556"/>
      <c r="I48" s="583" t="s">
        <v>2914</v>
      </c>
      <c r="J48" s="1800" t="s">
        <v>120</v>
      </c>
      <c r="K48" s="557">
        <v>500</v>
      </c>
      <c r="L48" s="589">
        <v>0.09</v>
      </c>
      <c r="M48" s="567">
        <v>0</v>
      </c>
      <c r="N48" s="562">
        <v>0</v>
      </c>
      <c r="O48" s="3169"/>
      <c r="P48" s="1888">
        <v>18047425</v>
      </c>
      <c r="Q48" s="1888">
        <v>18047425</v>
      </c>
      <c r="R48" s="1888">
        <v>0</v>
      </c>
      <c r="S48" s="1888">
        <v>0</v>
      </c>
      <c r="T48" s="1874">
        <f t="shared" si="14"/>
        <v>0</v>
      </c>
      <c r="U48" s="1874">
        <f t="shared" si="14"/>
        <v>0</v>
      </c>
      <c r="V48" s="1795"/>
      <c r="W48" s="1795"/>
      <c r="X48" s="1800"/>
      <c r="Y48" s="3174"/>
    </row>
    <row r="49" spans="1:25">
      <c r="A49" s="555"/>
      <c r="B49" s="214">
        <v>5202003</v>
      </c>
      <c r="C49" s="214" t="s">
        <v>116</v>
      </c>
      <c r="D49" s="215" t="s">
        <v>2915</v>
      </c>
      <c r="E49" s="549"/>
      <c r="F49" s="556"/>
      <c r="G49" s="583"/>
      <c r="H49" s="556"/>
      <c r="I49" s="1800"/>
      <c r="J49" s="1800"/>
      <c r="K49" s="557"/>
      <c r="L49" s="589"/>
      <c r="M49" s="567"/>
      <c r="N49" s="562"/>
      <c r="O49" s="562"/>
      <c r="P49" s="557"/>
      <c r="Q49" s="557"/>
      <c r="R49" s="557"/>
      <c r="S49" s="557"/>
      <c r="T49" s="562"/>
      <c r="U49" s="562"/>
      <c r="V49" s="1795"/>
      <c r="W49" s="1795"/>
      <c r="X49" s="1800"/>
      <c r="Y49" s="555"/>
    </row>
    <row r="50" spans="1:25" ht="27.6">
      <c r="A50" s="555"/>
      <c r="B50" s="222">
        <v>52020030007</v>
      </c>
      <c r="C50" s="222" t="s">
        <v>117</v>
      </c>
      <c r="D50" s="217" t="s">
        <v>2916</v>
      </c>
      <c r="E50" s="549"/>
      <c r="F50" s="556"/>
      <c r="G50" s="583"/>
      <c r="H50" s="556"/>
      <c r="I50" s="1800"/>
      <c r="J50" s="1800"/>
      <c r="K50" s="557">
        <f>K51+K54</f>
        <v>6</v>
      </c>
      <c r="L50" s="589"/>
      <c r="M50" s="567"/>
      <c r="N50" s="562"/>
      <c r="O50" s="562"/>
      <c r="P50" s="557"/>
      <c r="Q50" s="557"/>
      <c r="R50" s="557"/>
      <c r="S50" s="557"/>
      <c r="T50" s="562"/>
      <c r="U50" s="562"/>
      <c r="V50" s="1795"/>
      <c r="W50" s="1795"/>
      <c r="X50" s="1800"/>
      <c r="Y50" s="555"/>
    </row>
    <row r="51" spans="1:25">
      <c r="A51" s="2928">
        <v>4148</v>
      </c>
      <c r="B51" s="2928"/>
      <c r="C51" s="2928" t="s">
        <v>123</v>
      </c>
      <c r="D51" s="3033" t="s">
        <v>2917</v>
      </c>
      <c r="E51" s="1746" t="s">
        <v>2918</v>
      </c>
      <c r="F51" s="556"/>
      <c r="G51" s="583"/>
      <c r="H51" s="556"/>
      <c r="I51" s="1800"/>
      <c r="J51" s="1800"/>
      <c r="K51" s="557">
        <f>K53</f>
        <v>1</v>
      </c>
      <c r="L51" s="589">
        <f>SUM(L52:L53)</f>
        <v>1</v>
      </c>
      <c r="M51" s="567"/>
      <c r="N51" s="562">
        <f>SUM(N52:N53)</f>
        <v>0</v>
      </c>
      <c r="O51" s="3169">
        <f>IF(Q51&gt;0,N51,"na")</f>
        <v>0</v>
      </c>
      <c r="P51" s="557">
        <f>SUM(P52:P53)</f>
        <v>90668760</v>
      </c>
      <c r="Q51" s="557">
        <f t="shared" ref="Q51:S51" si="15">SUM(Q52:Q53)</f>
        <v>90668760</v>
      </c>
      <c r="R51" s="557">
        <f t="shared" si="15"/>
        <v>0</v>
      </c>
      <c r="S51" s="557">
        <f t="shared" si="15"/>
        <v>0</v>
      </c>
      <c r="T51" s="1874">
        <f t="shared" ref="T51:U56" si="16">IF(Q51=0,0,R51/Q51)</f>
        <v>0</v>
      </c>
      <c r="U51" s="1874">
        <f t="shared" si="16"/>
        <v>0</v>
      </c>
      <c r="V51" s="1795">
        <v>45337</v>
      </c>
      <c r="W51" s="1795">
        <v>45641</v>
      </c>
      <c r="X51" s="1847"/>
      <c r="Y51" s="2926" t="s">
        <v>2841</v>
      </c>
    </row>
    <row r="52" spans="1:25" ht="105.6">
      <c r="A52" s="2928"/>
      <c r="B52" s="2928"/>
      <c r="C52" s="2928"/>
      <c r="D52" s="3033"/>
      <c r="E52" s="549" t="s">
        <v>2919</v>
      </c>
      <c r="F52" s="556"/>
      <c r="G52" s="583"/>
      <c r="H52" s="556"/>
      <c r="I52" s="583" t="s">
        <v>2920</v>
      </c>
      <c r="J52" s="583" t="s">
        <v>2921</v>
      </c>
      <c r="K52" s="557">
        <v>1</v>
      </c>
      <c r="L52" s="589">
        <v>0.52</v>
      </c>
      <c r="M52" s="567">
        <v>0</v>
      </c>
      <c r="N52" s="562">
        <v>0</v>
      </c>
      <c r="O52" s="3169"/>
      <c r="P52" s="1888">
        <v>63867217</v>
      </c>
      <c r="Q52" s="1888">
        <v>63867217</v>
      </c>
      <c r="R52" s="1888">
        <v>0</v>
      </c>
      <c r="S52" s="1888">
        <v>0</v>
      </c>
      <c r="T52" s="1874">
        <f t="shared" si="16"/>
        <v>0</v>
      </c>
      <c r="U52" s="1874">
        <f t="shared" si="16"/>
        <v>0</v>
      </c>
      <c r="V52" s="1795"/>
      <c r="W52" s="1795"/>
      <c r="X52" s="1800"/>
      <c r="Y52" s="2926"/>
    </row>
    <row r="53" spans="1:25" ht="118.8">
      <c r="A53" s="2928"/>
      <c r="B53" s="2928"/>
      <c r="C53" s="2928"/>
      <c r="D53" s="3033"/>
      <c r="E53" s="549" t="s">
        <v>2922</v>
      </c>
      <c r="F53" s="556"/>
      <c r="G53" s="583" t="s">
        <v>2916</v>
      </c>
      <c r="H53" s="556"/>
      <c r="I53" s="583" t="s">
        <v>2923</v>
      </c>
      <c r="J53" s="1800" t="s">
        <v>2924</v>
      </c>
      <c r="K53" s="557">
        <v>1</v>
      </c>
      <c r="L53" s="589">
        <v>0.48</v>
      </c>
      <c r="M53" s="567">
        <v>0</v>
      </c>
      <c r="N53" s="562">
        <v>0</v>
      </c>
      <c r="O53" s="3169"/>
      <c r="P53" s="1888">
        <v>26801543</v>
      </c>
      <c r="Q53" s="1888">
        <v>26801543</v>
      </c>
      <c r="R53" s="1888">
        <v>0</v>
      </c>
      <c r="S53" s="1888">
        <v>0</v>
      </c>
      <c r="T53" s="1874">
        <f t="shared" si="16"/>
        <v>0</v>
      </c>
      <c r="U53" s="1874">
        <f t="shared" si="16"/>
        <v>0</v>
      </c>
      <c r="V53" s="1795"/>
      <c r="W53" s="1795"/>
      <c r="X53" s="1800"/>
      <c r="Y53" s="2926"/>
    </row>
    <row r="54" spans="1:25">
      <c r="A54" s="2928">
        <v>4148</v>
      </c>
      <c r="B54" s="2928"/>
      <c r="C54" s="2928" t="s">
        <v>123</v>
      </c>
      <c r="D54" s="3033" t="s">
        <v>2925</v>
      </c>
      <c r="E54" s="1746" t="s">
        <v>2926</v>
      </c>
      <c r="F54" s="556"/>
      <c r="G54" s="583"/>
      <c r="H54" s="556"/>
      <c r="I54" s="1800"/>
      <c r="J54" s="1800"/>
      <c r="K54" s="557">
        <f>K55</f>
        <v>5</v>
      </c>
      <c r="L54" s="589">
        <f>SUM(L55:L56)</f>
        <v>1</v>
      </c>
      <c r="M54" s="567"/>
      <c r="N54" s="562">
        <f>SUM(N55:N56)</f>
        <v>1.4E-2</v>
      </c>
      <c r="O54" s="3169">
        <f>IF(Q54&gt;0,N54,"na")</f>
        <v>1.4E-2</v>
      </c>
      <c r="P54" s="557">
        <f>SUM(P55:P56)</f>
        <v>115698756</v>
      </c>
      <c r="Q54" s="557">
        <f t="shared" ref="Q54:S54" si="17">SUM(Q55:Q56)</f>
        <v>115698756</v>
      </c>
      <c r="R54" s="557">
        <f t="shared" si="17"/>
        <v>20203500</v>
      </c>
      <c r="S54" s="557">
        <f t="shared" si="17"/>
        <v>10462000</v>
      </c>
      <c r="T54" s="1874">
        <f t="shared" si="16"/>
        <v>0.17462158365816829</v>
      </c>
      <c r="U54" s="1874">
        <f t="shared" si="16"/>
        <v>0.51783106887420494</v>
      </c>
      <c r="V54" s="1795"/>
      <c r="W54" s="1795"/>
      <c r="X54" s="1847"/>
      <c r="Y54" s="3174" t="s">
        <v>2863</v>
      </c>
    </row>
    <row r="55" spans="1:25" ht="118.8">
      <c r="A55" s="2928"/>
      <c r="B55" s="2928"/>
      <c r="C55" s="2928"/>
      <c r="D55" s="3033"/>
      <c r="E55" s="549" t="s">
        <v>2927</v>
      </c>
      <c r="F55" s="556"/>
      <c r="G55" s="583" t="s">
        <v>2916</v>
      </c>
      <c r="H55" s="556"/>
      <c r="I55" s="583" t="s">
        <v>2928</v>
      </c>
      <c r="J55" s="1800" t="s">
        <v>2929</v>
      </c>
      <c r="K55" s="557">
        <v>5</v>
      </c>
      <c r="L55" s="589">
        <v>0.68</v>
      </c>
      <c r="M55" s="567">
        <v>0</v>
      </c>
      <c r="N55" s="562">
        <v>1.4E-2</v>
      </c>
      <c r="O55" s="3169"/>
      <c r="P55" s="1888">
        <v>94245000</v>
      </c>
      <c r="Q55" s="1888">
        <v>94245000</v>
      </c>
      <c r="R55" s="1888">
        <v>20203500</v>
      </c>
      <c r="S55" s="1888">
        <v>10462000</v>
      </c>
      <c r="T55" s="1874">
        <f t="shared" si="16"/>
        <v>0.21437211523157726</v>
      </c>
      <c r="U55" s="1874">
        <f t="shared" si="16"/>
        <v>0.51783106887420494</v>
      </c>
      <c r="V55" s="1795">
        <v>45358</v>
      </c>
      <c r="W55" s="1795">
        <v>45412</v>
      </c>
      <c r="X55" s="1800" t="s">
        <v>2930</v>
      </c>
      <c r="Y55" s="3174"/>
    </row>
    <row r="56" spans="1:25" ht="92.4">
      <c r="A56" s="2928"/>
      <c r="B56" s="2928"/>
      <c r="C56" s="2928"/>
      <c r="D56" s="3033"/>
      <c r="E56" s="549" t="s">
        <v>2931</v>
      </c>
      <c r="F56" s="556"/>
      <c r="G56" s="583"/>
      <c r="H56" s="556"/>
      <c r="I56" s="1800" t="s">
        <v>2932</v>
      </c>
      <c r="J56" s="1800" t="s">
        <v>2933</v>
      </c>
      <c r="K56" s="557">
        <v>1</v>
      </c>
      <c r="L56" s="589">
        <v>0.32</v>
      </c>
      <c r="M56" s="567">
        <v>0</v>
      </c>
      <c r="N56" s="562">
        <v>0</v>
      </c>
      <c r="O56" s="3169"/>
      <c r="P56" s="1888">
        <v>21453756</v>
      </c>
      <c r="Q56" s="1888">
        <v>21453756</v>
      </c>
      <c r="R56" s="1888">
        <v>0</v>
      </c>
      <c r="S56" s="1888">
        <v>0</v>
      </c>
      <c r="T56" s="1874">
        <f t="shared" si="16"/>
        <v>0</v>
      </c>
      <c r="U56" s="1874">
        <f t="shared" si="16"/>
        <v>0</v>
      </c>
      <c r="V56" s="1795"/>
      <c r="W56" s="1795"/>
      <c r="X56" s="1800"/>
      <c r="Y56" s="3174"/>
    </row>
    <row r="57" spans="1:25">
      <c r="A57" s="555"/>
      <c r="B57" s="214">
        <v>5202004</v>
      </c>
      <c r="C57" s="214" t="s">
        <v>116</v>
      </c>
      <c r="D57" s="215" t="s">
        <v>2483</v>
      </c>
      <c r="E57" s="549"/>
      <c r="F57" s="556"/>
      <c r="G57" s="583"/>
      <c r="H57" s="556"/>
      <c r="I57" s="1800"/>
      <c r="J57" s="1800"/>
      <c r="K57" s="557"/>
      <c r="L57" s="589"/>
      <c r="M57" s="567"/>
      <c r="N57" s="562"/>
      <c r="O57" s="562"/>
      <c r="P57" s="557"/>
      <c r="Q57" s="557"/>
      <c r="R57" s="557"/>
      <c r="S57" s="557"/>
      <c r="T57" s="562"/>
      <c r="U57" s="562"/>
      <c r="V57" s="1795"/>
      <c r="W57" s="1795"/>
      <c r="X57" s="1800"/>
      <c r="Y57" s="555"/>
    </row>
    <row r="58" spans="1:25" ht="27.6">
      <c r="A58" s="555"/>
      <c r="B58" s="222">
        <v>52020040006</v>
      </c>
      <c r="C58" s="222" t="s">
        <v>117</v>
      </c>
      <c r="D58" s="217" t="s">
        <v>2934</v>
      </c>
      <c r="E58" s="549"/>
      <c r="F58" s="556"/>
      <c r="G58" s="583"/>
      <c r="H58" s="556"/>
      <c r="I58" s="1800"/>
      <c r="J58" s="1800"/>
      <c r="K58" s="557">
        <f>K59</f>
        <v>8</v>
      </c>
      <c r="L58" s="589"/>
      <c r="M58" s="567"/>
      <c r="N58" s="562"/>
      <c r="O58" s="562"/>
      <c r="P58" s="557"/>
      <c r="Q58" s="557"/>
      <c r="R58" s="557"/>
      <c r="S58" s="557"/>
      <c r="T58" s="562"/>
      <c r="U58" s="562"/>
      <c r="V58" s="1795"/>
      <c r="W58" s="1795"/>
      <c r="X58" s="1800"/>
      <c r="Y58" s="555"/>
    </row>
    <row r="59" spans="1:25">
      <c r="A59" s="2928">
        <v>4148</v>
      </c>
      <c r="B59" s="2928"/>
      <c r="C59" s="2928" t="s">
        <v>123</v>
      </c>
      <c r="D59" s="3033" t="s">
        <v>2935</v>
      </c>
      <c r="E59" s="1746" t="s">
        <v>2936</v>
      </c>
      <c r="F59" s="556"/>
      <c r="G59" s="583"/>
      <c r="H59" s="556"/>
      <c r="I59" s="1800"/>
      <c r="J59" s="1800"/>
      <c r="K59" s="557">
        <f>K61</f>
        <v>8</v>
      </c>
      <c r="L59" s="589">
        <f>SUM(L60:L61)</f>
        <v>1</v>
      </c>
      <c r="M59" s="567"/>
      <c r="N59" s="562">
        <f>SUM(N60:N61)</f>
        <v>0.01</v>
      </c>
      <c r="O59" s="3169">
        <f>IF(Q59&gt;0,N59,"na")</f>
        <v>0.01</v>
      </c>
      <c r="P59" s="557">
        <f>SUM(P60:P61)</f>
        <v>352466280</v>
      </c>
      <c r="Q59" s="557">
        <f t="shared" ref="Q59:S59" si="18">SUM(Q60:Q61)</f>
        <v>352466280</v>
      </c>
      <c r="R59" s="557">
        <f t="shared" si="18"/>
        <v>27156000</v>
      </c>
      <c r="S59" s="557">
        <f t="shared" si="18"/>
        <v>7229000</v>
      </c>
      <c r="T59" s="1874">
        <f t="shared" ref="T59:U61" si="19">IF(Q59=0,0,R59/Q59)</f>
        <v>7.7045668028158612E-2</v>
      </c>
      <c r="U59" s="1874">
        <f t="shared" si="19"/>
        <v>0.26620268080718812</v>
      </c>
      <c r="V59" s="1795"/>
      <c r="W59" s="1795"/>
      <c r="X59" s="1847"/>
      <c r="Y59" s="2926" t="s">
        <v>2863</v>
      </c>
    </row>
    <row r="60" spans="1:25" ht="52.8">
      <c r="A60" s="2928"/>
      <c r="B60" s="2928"/>
      <c r="C60" s="2928"/>
      <c r="D60" s="3033"/>
      <c r="E60" s="549" t="s">
        <v>2937</v>
      </c>
      <c r="F60" s="556"/>
      <c r="G60" s="212"/>
      <c r="H60" s="556"/>
      <c r="I60" s="583" t="s">
        <v>2938</v>
      </c>
      <c r="J60" s="583" t="s">
        <v>2847</v>
      </c>
      <c r="K60" s="557">
        <v>1</v>
      </c>
      <c r="L60" s="589">
        <v>0.1</v>
      </c>
      <c r="M60" s="567">
        <v>0</v>
      </c>
      <c r="N60" s="562">
        <v>0</v>
      </c>
      <c r="O60" s="3169"/>
      <c r="P60" s="1888">
        <v>20516000</v>
      </c>
      <c r="Q60" s="1888">
        <v>20516000</v>
      </c>
      <c r="R60" s="1888">
        <v>0</v>
      </c>
      <c r="S60" s="1888">
        <v>0</v>
      </c>
      <c r="T60" s="1874">
        <f t="shared" si="19"/>
        <v>0</v>
      </c>
      <c r="U60" s="1874">
        <f t="shared" si="19"/>
        <v>0</v>
      </c>
      <c r="V60" s="1795"/>
      <c r="W60" s="1795"/>
      <c r="X60" s="1800"/>
      <c r="Y60" s="2926"/>
    </row>
    <row r="61" spans="1:25" ht="105.6">
      <c r="A61" s="2928"/>
      <c r="B61" s="2928"/>
      <c r="C61" s="2928"/>
      <c r="D61" s="3033"/>
      <c r="E61" s="549" t="s">
        <v>2939</v>
      </c>
      <c r="F61" s="556"/>
      <c r="G61" s="212" t="s">
        <v>2934</v>
      </c>
      <c r="H61" s="556"/>
      <c r="I61" s="583" t="s">
        <v>2940</v>
      </c>
      <c r="J61" s="583" t="s">
        <v>2941</v>
      </c>
      <c r="K61" s="557">
        <v>8</v>
      </c>
      <c r="L61" s="589">
        <v>0.9</v>
      </c>
      <c r="M61" s="567">
        <v>0</v>
      </c>
      <c r="N61" s="562">
        <v>0.01</v>
      </c>
      <c r="O61" s="3169"/>
      <c r="P61" s="1888">
        <v>331950280</v>
      </c>
      <c r="Q61" s="1888">
        <v>331950280</v>
      </c>
      <c r="R61" s="1888">
        <v>27156000</v>
      </c>
      <c r="S61" s="1888">
        <v>7229000</v>
      </c>
      <c r="T61" s="1874">
        <f t="shared" si="19"/>
        <v>8.1807432125076074E-2</v>
      </c>
      <c r="U61" s="1874">
        <f t="shared" si="19"/>
        <v>0.26620268080718812</v>
      </c>
      <c r="V61" s="1795">
        <v>45342</v>
      </c>
      <c r="W61" s="1795">
        <v>45412</v>
      </c>
      <c r="X61" s="1800" t="s">
        <v>2942</v>
      </c>
      <c r="Y61" s="2926"/>
    </row>
    <row r="62" spans="1:25" ht="27.6">
      <c r="A62" s="555"/>
      <c r="B62" s="214">
        <v>5202005</v>
      </c>
      <c r="C62" s="214" t="s">
        <v>116</v>
      </c>
      <c r="D62" s="215" t="s">
        <v>2943</v>
      </c>
      <c r="E62" s="549"/>
      <c r="F62" s="556"/>
      <c r="G62" s="583"/>
      <c r="H62" s="556"/>
      <c r="I62" s="1800"/>
      <c r="J62" s="1800"/>
      <c r="K62" s="557"/>
      <c r="L62" s="589"/>
      <c r="M62" s="567"/>
      <c r="N62" s="562"/>
      <c r="O62" s="562"/>
      <c r="P62" s="557"/>
      <c r="Q62" s="557"/>
      <c r="R62" s="557"/>
      <c r="S62" s="557"/>
      <c r="T62" s="562"/>
      <c r="U62" s="562"/>
      <c r="V62" s="1795"/>
      <c r="W62" s="1795"/>
      <c r="X62" s="1800"/>
      <c r="Y62" s="555"/>
    </row>
    <row r="63" spans="1:25" ht="27.6">
      <c r="A63" s="555"/>
      <c r="B63" s="222">
        <v>52020050005</v>
      </c>
      <c r="C63" s="222" t="s">
        <v>117</v>
      </c>
      <c r="D63" s="217" t="s">
        <v>2944</v>
      </c>
      <c r="E63" s="549"/>
      <c r="F63" s="556"/>
      <c r="G63" s="583"/>
      <c r="H63" s="556"/>
      <c r="I63" s="1800"/>
      <c r="J63" s="1800"/>
      <c r="K63" s="812">
        <f>K64</f>
        <v>2205</v>
      </c>
      <c r="L63" s="589"/>
      <c r="M63" s="567"/>
      <c r="N63" s="562"/>
      <c r="O63" s="562"/>
      <c r="P63" s="557"/>
      <c r="Q63" s="557"/>
      <c r="R63" s="557"/>
      <c r="S63" s="557"/>
      <c r="T63" s="562"/>
      <c r="U63" s="562"/>
      <c r="V63" s="1795"/>
      <c r="W63" s="1795"/>
      <c r="X63" s="1800"/>
      <c r="Y63" s="555"/>
    </row>
    <row r="64" spans="1:25">
      <c r="A64" s="2928">
        <v>4148</v>
      </c>
      <c r="B64" s="2928"/>
      <c r="C64" s="2928" t="s">
        <v>123</v>
      </c>
      <c r="D64" s="3033" t="s">
        <v>2945</v>
      </c>
      <c r="E64" s="1746" t="s">
        <v>2946</v>
      </c>
      <c r="F64" s="556"/>
      <c r="G64" s="583"/>
      <c r="H64" s="556"/>
      <c r="I64" s="1800"/>
      <c r="J64" s="1800"/>
      <c r="K64" s="557">
        <f>K65+K66</f>
        <v>2205</v>
      </c>
      <c r="L64" s="589">
        <f>SUM(L65:L67)</f>
        <v>1</v>
      </c>
      <c r="M64" s="567"/>
      <c r="N64" s="562">
        <f>SUM(N65:N67)</f>
        <v>1.4E-2</v>
      </c>
      <c r="O64" s="3169">
        <f>IF(Q64&gt;0,N64,"na")</f>
        <v>1.4E-2</v>
      </c>
      <c r="P64" s="557">
        <f>SUM(P65:P67)</f>
        <v>663080197</v>
      </c>
      <c r="Q64" s="557">
        <f t="shared" ref="Q64:S64" si="20">SUM(Q65:Q67)</f>
        <v>663080197</v>
      </c>
      <c r="R64" s="557">
        <f t="shared" si="20"/>
        <v>15474000</v>
      </c>
      <c r="S64" s="557">
        <f t="shared" si="20"/>
        <v>7737000</v>
      </c>
      <c r="T64" s="1874">
        <f t="shared" ref="T64:U67" si="21">IF(Q64=0,0,R64/Q64)</f>
        <v>2.3336543709206868E-2</v>
      </c>
      <c r="U64" s="1874">
        <f t="shared" si="21"/>
        <v>0.5</v>
      </c>
      <c r="V64" s="1795"/>
      <c r="W64" s="1795"/>
      <c r="X64" s="1847"/>
      <c r="Y64" s="3174" t="s">
        <v>2863</v>
      </c>
    </row>
    <row r="65" spans="1:25" ht="79.2">
      <c r="A65" s="2928"/>
      <c r="B65" s="2928"/>
      <c r="C65" s="2928"/>
      <c r="D65" s="3033"/>
      <c r="E65" s="549" t="s">
        <v>2947</v>
      </c>
      <c r="F65" s="556"/>
      <c r="G65" s="212" t="s">
        <v>2944</v>
      </c>
      <c r="H65" s="556"/>
      <c r="I65" s="583" t="s">
        <v>2948</v>
      </c>
      <c r="J65" s="1800" t="s">
        <v>2912</v>
      </c>
      <c r="K65" s="557">
        <v>1105</v>
      </c>
      <c r="L65" s="589">
        <v>0.12</v>
      </c>
      <c r="M65" s="567">
        <v>0</v>
      </c>
      <c r="N65" s="562">
        <v>0</v>
      </c>
      <c r="O65" s="3169"/>
      <c r="P65" s="1888">
        <v>81263419</v>
      </c>
      <c r="Q65" s="1888">
        <v>81263419</v>
      </c>
      <c r="R65" s="1888">
        <v>0</v>
      </c>
      <c r="S65" s="1888">
        <v>0</v>
      </c>
      <c r="T65" s="1874">
        <f t="shared" si="21"/>
        <v>0</v>
      </c>
      <c r="U65" s="1874">
        <f t="shared" si="21"/>
        <v>0</v>
      </c>
      <c r="V65" s="1795"/>
      <c r="W65" s="1795"/>
      <c r="X65" s="1800"/>
      <c r="Y65" s="3174"/>
    </row>
    <row r="66" spans="1:25" ht="79.2">
      <c r="A66" s="2928"/>
      <c r="B66" s="2928"/>
      <c r="C66" s="2928"/>
      <c r="D66" s="3033"/>
      <c r="E66" s="549" t="s">
        <v>2949</v>
      </c>
      <c r="F66" s="556"/>
      <c r="G66" s="212" t="s">
        <v>2944</v>
      </c>
      <c r="H66" s="556"/>
      <c r="I66" s="583" t="s">
        <v>2950</v>
      </c>
      <c r="J66" s="1800" t="s">
        <v>2951</v>
      </c>
      <c r="K66" s="557">
        <v>1100</v>
      </c>
      <c r="L66" s="589">
        <v>0.4</v>
      </c>
      <c r="M66" s="567">
        <v>0</v>
      </c>
      <c r="N66" s="562">
        <v>0</v>
      </c>
      <c r="O66" s="3169"/>
      <c r="P66" s="1888">
        <v>270807315</v>
      </c>
      <c r="Q66" s="1888">
        <v>270807315</v>
      </c>
      <c r="R66" s="1888">
        <v>0</v>
      </c>
      <c r="S66" s="1888">
        <v>0</v>
      </c>
      <c r="T66" s="1874">
        <f t="shared" si="21"/>
        <v>0</v>
      </c>
      <c r="U66" s="1874">
        <f t="shared" si="21"/>
        <v>0</v>
      </c>
      <c r="V66" s="1795"/>
      <c r="W66" s="1795"/>
      <c r="X66" s="1800"/>
      <c r="Y66" s="3174"/>
    </row>
    <row r="67" spans="1:25" ht="79.2">
      <c r="A67" s="2928"/>
      <c r="B67" s="2928"/>
      <c r="C67" s="2928"/>
      <c r="D67" s="3033"/>
      <c r="E67" s="549" t="s">
        <v>2952</v>
      </c>
      <c r="F67" s="556"/>
      <c r="G67" s="583"/>
      <c r="H67" s="556"/>
      <c r="I67" s="583" t="s">
        <v>2953</v>
      </c>
      <c r="J67" s="583" t="s">
        <v>2954</v>
      </c>
      <c r="K67" s="557">
        <v>8</v>
      </c>
      <c r="L67" s="589">
        <v>0.48</v>
      </c>
      <c r="M67" s="567">
        <v>0</v>
      </c>
      <c r="N67" s="562">
        <v>1.4E-2</v>
      </c>
      <c r="O67" s="3169"/>
      <c r="P67" s="1888">
        <v>311009463</v>
      </c>
      <c r="Q67" s="1888">
        <v>311009463</v>
      </c>
      <c r="R67" s="1888">
        <v>15474000</v>
      </c>
      <c r="S67" s="1888">
        <v>7737000</v>
      </c>
      <c r="T67" s="1874">
        <f t="shared" si="21"/>
        <v>4.9754113108770585E-2</v>
      </c>
      <c r="U67" s="1874">
        <f t="shared" si="21"/>
        <v>0.5</v>
      </c>
      <c r="V67" s="1795">
        <v>45342</v>
      </c>
      <c r="W67" s="1795">
        <v>45412</v>
      </c>
      <c r="X67" s="1800" t="s">
        <v>2955</v>
      </c>
      <c r="Y67" s="3174"/>
    </row>
    <row r="68" spans="1:25">
      <c r="A68" s="555"/>
      <c r="B68" s="214">
        <v>5202006</v>
      </c>
      <c r="C68" s="214" t="s">
        <v>116</v>
      </c>
      <c r="D68" s="215" t="s">
        <v>1847</v>
      </c>
      <c r="E68" s="549"/>
      <c r="F68" s="556"/>
      <c r="G68" s="583"/>
      <c r="H68" s="556"/>
      <c r="I68" s="1800"/>
      <c r="J68" s="1800"/>
      <c r="K68" s="557"/>
      <c r="L68" s="589"/>
      <c r="M68" s="567"/>
      <c r="N68" s="562"/>
      <c r="O68" s="562"/>
      <c r="P68" s="557"/>
      <c r="Q68" s="557"/>
      <c r="R68" s="557"/>
      <c r="S68" s="557"/>
      <c r="T68" s="562"/>
      <c r="U68" s="562"/>
      <c r="V68" s="1795"/>
      <c r="W68" s="1795"/>
      <c r="X68" s="1800"/>
      <c r="Y68" s="555"/>
    </row>
    <row r="69" spans="1:25">
      <c r="A69" s="555"/>
      <c r="B69" s="222">
        <v>52020060007</v>
      </c>
      <c r="C69" s="222" t="s">
        <v>117</v>
      </c>
      <c r="D69" s="217" t="s">
        <v>2956</v>
      </c>
      <c r="E69" s="549"/>
      <c r="F69" s="556"/>
      <c r="G69" s="583"/>
      <c r="H69" s="556"/>
      <c r="I69" s="1800"/>
      <c r="J69" s="1800"/>
      <c r="K69" s="557">
        <f>K70</f>
        <v>2</v>
      </c>
      <c r="L69" s="589"/>
      <c r="M69" s="567"/>
      <c r="N69" s="562"/>
      <c r="O69" s="562"/>
      <c r="P69" s="557"/>
      <c r="Q69" s="557"/>
      <c r="R69" s="557"/>
      <c r="S69" s="557"/>
      <c r="T69" s="562"/>
      <c r="U69" s="562"/>
      <c r="V69" s="1795"/>
      <c r="W69" s="1795"/>
      <c r="X69" s="1800"/>
      <c r="Y69" s="555"/>
    </row>
    <row r="70" spans="1:25">
      <c r="A70" s="2928">
        <v>4148</v>
      </c>
      <c r="B70" s="2928"/>
      <c r="C70" s="2928" t="s">
        <v>123</v>
      </c>
      <c r="D70" s="3033" t="s">
        <v>2957</v>
      </c>
      <c r="E70" s="1746" t="s">
        <v>2958</v>
      </c>
      <c r="F70" s="556"/>
      <c r="G70" s="583"/>
      <c r="H70" s="556"/>
      <c r="I70" s="1800"/>
      <c r="J70" s="1800"/>
      <c r="K70" s="557">
        <f>K72</f>
        <v>2</v>
      </c>
      <c r="L70" s="589">
        <f>SUM(L71:L72)</f>
        <v>1</v>
      </c>
      <c r="M70" s="567"/>
      <c r="N70" s="562">
        <f>SUM(N71:N72)</f>
        <v>0</v>
      </c>
      <c r="O70" s="3169">
        <f>IF(Q70&gt;0,N70,"na")</f>
        <v>0</v>
      </c>
      <c r="P70" s="1888">
        <f>SUM(P71:P72)</f>
        <v>141045273</v>
      </c>
      <c r="Q70" s="1888">
        <f t="shared" ref="Q70:S70" si="22">SUM(Q71:Q72)</f>
        <v>141045273</v>
      </c>
      <c r="R70" s="1888">
        <f t="shared" si="22"/>
        <v>0</v>
      </c>
      <c r="S70" s="1888">
        <f t="shared" si="22"/>
        <v>0</v>
      </c>
      <c r="T70" s="1874">
        <f t="shared" ref="T70:U72" si="23">IF(Q70=0,0,R70/Q70)</f>
        <v>0</v>
      </c>
      <c r="U70" s="1874">
        <f t="shared" si="23"/>
        <v>0</v>
      </c>
      <c r="V70" s="1795">
        <v>45488</v>
      </c>
      <c r="W70" s="1795">
        <v>45641</v>
      </c>
      <c r="X70" s="1847"/>
      <c r="Y70" s="2926" t="s">
        <v>2841</v>
      </c>
    </row>
    <row r="71" spans="1:25" ht="105.6">
      <c r="A71" s="2928"/>
      <c r="B71" s="2928"/>
      <c r="C71" s="2928"/>
      <c r="D71" s="3033"/>
      <c r="E71" s="549" t="s">
        <v>2959</v>
      </c>
      <c r="F71" s="556"/>
      <c r="G71" s="212"/>
      <c r="H71" s="557"/>
      <c r="I71" s="1800" t="s">
        <v>2960</v>
      </c>
      <c r="J71" s="1800" t="s">
        <v>120</v>
      </c>
      <c r="K71" s="557">
        <v>10</v>
      </c>
      <c r="L71" s="589">
        <v>0.3</v>
      </c>
      <c r="M71" s="567">
        <v>0</v>
      </c>
      <c r="N71" s="562">
        <v>0</v>
      </c>
      <c r="O71" s="3169"/>
      <c r="P71" s="1888">
        <v>38205800</v>
      </c>
      <c r="Q71" s="1888">
        <v>38205800</v>
      </c>
      <c r="R71" s="1888">
        <v>0</v>
      </c>
      <c r="S71" s="1888">
        <v>0</v>
      </c>
      <c r="T71" s="1874">
        <f t="shared" si="23"/>
        <v>0</v>
      </c>
      <c r="U71" s="1874">
        <f t="shared" si="23"/>
        <v>0</v>
      </c>
      <c r="V71" s="1795"/>
      <c r="W71" s="1795"/>
      <c r="X71" s="1800"/>
      <c r="Y71" s="2926"/>
    </row>
    <row r="72" spans="1:25" ht="66">
      <c r="A72" s="2928"/>
      <c r="B72" s="2928"/>
      <c r="C72" s="2928"/>
      <c r="D72" s="3033"/>
      <c r="E72" s="549" t="s">
        <v>2961</v>
      </c>
      <c r="F72" s="556"/>
      <c r="G72" s="212" t="s">
        <v>2956</v>
      </c>
      <c r="H72" s="556"/>
      <c r="I72" s="1814" t="s">
        <v>2962</v>
      </c>
      <c r="J72" s="583" t="s">
        <v>2847</v>
      </c>
      <c r="K72" s="557">
        <v>2</v>
      </c>
      <c r="L72" s="589">
        <v>0.7</v>
      </c>
      <c r="M72" s="567">
        <v>0</v>
      </c>
      <c r="N72" s="562">
        <v>0</v>
      </c>
      <c r="O72" s="3169"/>
      <c r="P72" s="1888">
        <v>102839473</v>
      </c>
      <c r="Q72" s="1888">
        <v>102839473</v>
      </c>
      <c r="R72" s="1888">
        <v>0</v>
      </c>
      <c r="S72" s="1888">
        <v>0</v>
      </c>
      <c r="T72" s="1874">
        <f t="shared" si="23"/>
        <v>0</v>
      </c>
      <c r="U72" s="1874">
        <f t="shared" si="23"/>
        <v>0</v>
      </c>
      <c r="V72" s="1795"/>
      <c r="W72" s="1795"/>
      <c r="X72" s="1800"/>
      <c r="Y72" s="2926"/>
    </row>
    <row r="73" spans="1:25" ht="27.6">
      <c r="A73" s="555"/>
      <c r="B73" s="222">
        <v>52020060008</v>
      </c>
      <c r="C73" s="222" t="s">
        <v>117</v>
      </c>
      <c r="D73" s="217" t="s">
        <v>2963</v>
      </c>
      <c r="E73" s="549"/>
      <c r="F73" s="556"/>
      <c r="G73" s="583"/>
      <c r="H73" s="556"/>
      <c r="I73" s="1800"/>
      <c r="J73" s="1800"/>
      <c r="K73" s="557">
        <f>K74</f>
        <v>6</v>
      </c>
      <c r="L73" s="589"/>
      <c r="M73" s="567"/>
      <c r="N73" s="562"/>
      <c r="O73" s="562"/>
      <c r="P73" s="1888"/>
      <c r="Q73" s="1888"/>
      <c r="R73" s="1888"/>
      <c r="S73" s="1888"/>
      <c r="T73" s="1877"/>
      <c r="U73" s="1877"/>
      <c r="V73" s="1795"/>
      <c r="W73" s="1795"/>
      <c r="X73" s="1800"/>
      <c r="Y73" s="555"/>
    </row>
    <row r="74" spans="1:25">
      <c r="A74" s="2928">
        <v>4148</v>
      </c>
      <c r="B74" s="2928"/>
      <c r="C74" s="2928" t="s">
        <v>123</v>
      </c>
      <c r="D74" s="3033" t="s">
        <v>2964</v>
      </c>
      <c r="E74" s="1746" t="s">
        <v>2965</v>
      </c>
      <c r="F74" s="556"/>
      <c r="G74" s="583"/>
      <c r="H74" s="556"/>
      <c r="I74" s="1800"/>
      <c r="J74" s="1800"/>
      <c r="K74" s="557">
        <f>K75+K76</f>
        <v>6</v>
      </c>
      <c r="L74" s="589">
        <f>SUM(L75:L76)</f>
        <v>1</v>
      </c>
      <c r="M74" s="567"/>
      <c r="N74" s="562">
        <f>SUM(N75:N76)</f>
        <v>0</v>
      </c>
      <c r="O74" s="3169">
        <f>IF(Q74&gt;0,N74,"na")</f>
        <v>0</v>
      </c>
      <c r="P74" s="1888">
        <f>SUM(P75:P76)</f>
        <v>165850046</v>
      </c>
      <c r="Q74" s="1888">
        <f t="shared" ref="Q74:S74" si="24">SUM(Q75:Q76)</f>
        <v>165850046</v>
      </c>
      <c r="R74" s="1888">
        <f t="shared" si="24"/>
        <v>7292000</v>
      </c>
      <c r="S74" s="1888">
        <f t="shared" si="24"/>
        <v>0</v>
      </c>
      <c r="T74" s="1874">
        <f t="shared" ref="T74:U76" si="25">IF(Q74=0,0,R74/Q74)</f>
        <v>4.3967428263480858E-2</v>
      </c>
      <c r="U74" s="1874">
        <f t="shared" si="25"/>
        <v>0</v>
      </c>
      <c r="V74" s="1795"/>
      <c r="W74" s="1795"/>
      <c r="X74" s="1847"/>
      <c r="Y74" s="3174" t="s">
        <v>2863</v>
      </c>
    </row>
    <row r="75" spans="1:25" ht="105.6">
      <c r="A75" s="2928"/>
      <c r="B75" s="2928"/>
      <c r="C75" s="2928"/>
      <c r="D75" s="3033"/>
      <c r="E75" s="549" t="s">
        <v>2966</v>
      </c>
      <c r="F75" s="556"/>
      <c r="G75" s="212" t="s">
        <v>2963</v>
      </c>
      <c r="H75" s="556"/>
      <c r="I75" s="583" t="s">
        <v>2967</v>
      </c>
      <c r="J75" s="583" t="s">
        <v>2847</v>
      </c>
      <c r="K75" s="557">
        <v>5</v>
      </c>
      <c r="L75" s="589">
        <v>0.95</v>
      </c>
      <c r="M75" s="567">
        <v>0</v>
      </c>
      <c r="N75" s="562">
        <v>0</v>
      </c>
      <c r="O75" s="3169"/>
      <c r="P75" s="1888">
        <v>158162546</v>
      </c>
      <c r="Q75" s="1888">
        <v>158162546</v>
      </c>
      <c r="R75" s="1888">
        <v>7292000</v>
      </c>
      <c r="S75" s="1888">
        <v>0</v>
      </c>
      <c r="T75" s="1874">
        <f t="shared" si="25"/>
        <v>4.6104467741686452E-2</v>
      </c>
      <c r="U75" s="1874">
        <f t="shared" si="25"/>
        <v>0</v>
      </c>
      <c r="V75" s="1795">
        <v>45376</v>
      </c>
      <c r="W75" s="1795">
        <v>45412</v>
      </c>
      <c r="X75" s="1800"/>
      <c r="Y75" s="3174"/>
    </row>
    <row r="76" spans="1:25" ht="105.6">
      <c r="A76" s="2928"/>
      <c r="B76" s="2928"/>
      <c r="C76" s="2928"/>
      <c r="D76" s="3033"/>
      <c r="E76" s="549" t="s">
        <v>2968</v>
      </c>
      <c r="F76" s="556"/>
      <c r="G76" s="212" t="s">
        <v>2963</v>
      </c>
      <c r="H76" s="556"/>
      <c r="I76" s="583" t="s">
        <v>2969</v>
      </c>
      <c r="J76" s="1800" t="s">
        <v>2933</v>
      </c>
      <c r="K76" s="557">
        <v>1</v>
      </c>
      <c r="L76" s="589">
        <v>0.05</v>
      </c>
      <c r="M76" s="567">
        <v>0</v>
      </c>
      <c r="N76" s="562">
        <v>0</v>
      </c>
      <c r="O76" s="3169"/>
      <c r="P76" s="1888">
        <v>7687500</v>
      </c>
      <c r="Q76" s="1888">
        <v>7687500</v>
      </c>
      <c r="R76" s="1888">
        <v>0</v>
      </c>
      <c r="S76" s="1888">
        <v>0</v>
      </c>
      <c r="T76" s="1874">
        <f t="shared" si="25"/>
        <v>0</v>
      </c>
      <c r="U76" s="1874">
        <f t="shared" si="25"/>
        <v>0</v>
      </c>
      <c r="V76" s="1795"/>
      <c r="W76" s="1795"/>
      <c r="X76" s="1800"/>
      <c r="Y76" s="3174"/>
    </row>
    <row r="77" spans="1:25" ht="27.6">
      <c r="A77" s="555"/>
      <c r="B77" s="214">
        <v>5202007</v>
      </c>
      <c r="C77" s="214" t="s">
        <v>116</v>
      </c>
      <c r="D77" s="215" t="s">
        <v>2970</v>
      </c>
      <c r="E77" s="549"/>
      <c r="F77" s="556"/>
      <c r="G77" s="583"/>
      <c r="H77" s="556"/>
      <c r="I77" s="1800"/>
      <c r="J77" s="1800"/>
      <c r="K77" s="557"/>
      <c r="L77" s="589"/>
      <c r="M77" s="567"/>
      <c r="N77" s="562"/>
      <c r="O77" s="562"/>
      <c r="P77" s="1888"/>
      <c r="Q77" s="1888"/>
      <c r="R77" s="1888"/>
      <c r="S77" s="1888"/>
      <c r="T77" s="1877"/>
      <c r="U77" s="1877"/>
      <c r="V77" s="1795"/>
      <c r="W77" s="1795"/>
      <c r="X77" s="1800"/>
      <c r="Y77" s="555"/>
    </row>
    <row r="78" spans="1:25" ht="27.6">
      <c r="A78" s="555"/>
      <c r="B78" s="222">
        <v>52020070007</v>
      </c>
      <c r="C78" s="222" t="s">
        <v>117</v>
      </c>
      <c r="D78" s="217" t="s">
        <v>2971</v>
      </c>
      <c r="E78" s="549"/>
      <c r="F78" s="556"/>
      <c r="G78" s="583"/>
      <c r="H78" s="556"/>
      <c r="I78" s="1800"/>
      <c r="J78" s="1800"/>
      <c r="K78" s="557">
        <f>K79</f>
        <v>7</v>
      </c>
      <c r="L78" s="589"/>
      <c r="M78" s="567"/>
      <c r="N78" s="562"/>
      <c r="O78" s="562"/>
      <c r="P78" s="557"/>
      <c r="Q78" s="557"/>
      <c r="R78" s="557"/>
      <c r="S78" s="557"/>
      <c r="T78" s="562"/>
      <c r="U78" s="562"/>
      <c r="V78" s="1795"/>
      <c r="W78" s="1795"/>
      <c r="X78" s="1800"/>
      <c r="Y78" s="555"/>
    </row>
    <row r="79" spans="1:25">
      <c r="A79" s="2928">
        <v>4148</v>
      </c>
      <c r="B79" s="2928"/>
      <c r="C79" s="2928" t="s">
        <v>123</v>
      </c>
      <c r="D79" s="3033" t="s">
        <v>2972</v>
      </c>
      <c r="E79" s="1746" t="s">
        <v>2973</v>
      </c>
      <c r="F79" s="556"/>
      <c r="G79" s="583"/>
      <c r="H79" s="556"/>
      <c r="I79" s="1800"/>
      <c r="J79" s="1800"/>
      <c r="K79" s="557">
        <v>7</v>
      </c>
      <c r="L79" s="589">
        <f>SUM(L80:L80)</f>
        <v>1</v>
      </c>
      <c r="M79" s="567"/>
      <c r="N79" s="562">
        <f>SUM(N80:N80)</f>
        <v>0.01</v>
      </c>
      <c r="O79" s="3169">
        <f>IF(Q79&gt;0,N79,"na")</f>
        <v>0.01</v>
      </c>
      <c r="P79" s="557">
        <f>SUM(P80:P80)</f>
        <v>344659435</v>
      </c>
      <c r="Q79" s="557">
        <f t="shared" ref="Q79:S79" si="26">SUM(Q80:Q80)</f>
        <v>344659435</v>
      </c>
      <c r="R79" s="557">
        <f t="shared" si="26"/>
        <v>9840000</v>
      </c>
      <c r="S79" s="557">
        <f t="shared" si="26"/>
        <v>6560000</v>
      </c>
      <c r="T79" s="1874">
        <f>IF(Q79=0,0,R79/Q79)</f>
        <v>2.8549922041159269E-2</v>
      </c>
      <c r="U79" s="1874">
        <f>IF(R79=0,0,S79/R79)</f>
        <v>0.66666666666666663</v>
      </c>
      <c r="V79" s="1795"/>
      <c r="W79" s="1795"/>
      <c r="X79" s="1847"/>
      <c r="Y79" s="3174" t="s">
        <v>2863</v>
      </c>
    </row>
    <row r="80" spans="1:25" ht="105.6">
      <c r="A80" s="2928"/>
      <c r="B80" s="2928"/>
      <c r="C80" s="2928"/>
      <c r="D80" s="3033"/>
      <c r="E80" s="549" t="s">
        <v>2974</v>
      </c>
      <c r="F80" s="556"/>
      <c r="G80" s="212" t="s">
        <v>2971</v>
      </c>
      <c r="H80" s="556"/>
      <c r="I80" s="583" t="s">
        <v>2975</v>
      </c>
      <c r="J80" s="583" t="s">
        <v>2976</v>
      </c>
      <c r="K80" s="557">
        <v>1</v>
      </c>
      <c r="L80" s="589">
        <v>1</v>
      </c>
      <c r="M80" s="567">
        <v>0</v>
      </c>
      <c r="N80" s="562">
        <v>0.01</v>
      </c>
      <c r="O80" s="3169"/>
      <c r="P80" s="1888">
        <v>344659435</v>
      </c>
      <c r="Q80" s="1888">
        <v>344659435</v>
      </c>
      <c r="R80" s="1888">
        <v>9840000</v>
      </c>
      <c r="S80" s="1888">
        <v>6560000</v>
      </c>
      <c r="T80" s="1874">
        <f>IF(Q80=0,0,R80/Q80)</f>
        <v>2.8549922041159269E-2</v>
      </c>
      <c r="U80" s="1874">
        <f>IF(R80=0,0,S80/R80)</f>
        <v>0.66666666666666663</v>
      </c>
      <c r="V80" s="1795">
        <v>45356</v>
      </c>
      <c r="W80" s="1795">
        <v>45412</v>
      </c>
      <c r="X80" s="583" t="s">
        <v>2977</v>
      </c>
      <c r="Y80" s="3174"/>
    </row>
    <row r="81" spans="1:25">
      <c r="A81" s="555"/>
      <c r="B81" s="214">
        <v>5203</v>
      </c>
      <c r="C81" s="214" t="s">
        <v>115</v>
      </c>
      <c r="D81" s="215" t="s">
        <v>163</v>
      </c>
      <c r="E81" s="549"/>
      <c r="F81" s="556"/>
      <c r="G81" s="583"/>
      <c r="H81" s="556"/>
      <c r="I81" s="1800"/>
      <c r="J81" s="1800"/>
      <c r="K81" s="557"/>
      <c r="L81" s="589"/>
      <c r="M81" s="567"/>
      <c r="N81" s="562"/>
      <c r="O81" s="562"/>
      <c r="P81" s="557"/>
      <c r="Q81" s="557"/>
      <c r="R81" s="557"/>
      <c r="S81" s="557"/>
      <c r="T81" s="562"/>
      <c r="U81" s="562"/>
      <c r="V81" s="1795"/>
      <c r="W81" s="1795"/>
      <c r="X81" s="1800"/>
      <c r="Y81" s="555"/>
    </row>
    <row r="82" spans="1:25">
      <c r="A82" s="555"/>
      <c r="B82" s="214">
        <v>5203007</v>
      </c>
      <c r="C82" s="214" t="s">
        <v>116</v>
      </c>
      <c r="D82" s="215" t="s">
        <v>2978</v>
      </c>
      <c r="E82" s="549"/>
      <c r="F82" s="556"/>
      <c r="G82" s="583"/>
      <c r="H82" s="556"/>
      <c r="I82" s="1800"/>
      <c r="J82" s="1800"/>
      <c r="K82" s="557"/>
      <c r="L82" s="589"/>
      <c r="M82" s="567"/>
      <c r="N82" s="562"/>
      <c r="O82" s="562"/>
      <c r="P82" s="557"/>
      <c r="Q82" s="557"/>
      <c r="R82" s="557"/>
      <c r="S82" s="557"/>
      <c r="T82" s="562"/>
      <c r="U82" s="562"/>
      <c r="V82" s="1795"/>
      <c r="W82" s="1795"/>
      <c r="X82" s="1800"/>
      <c r="Y82" s="555"/>
    </row>
    <row r="83" spans="1:25">
      <c r="A83" s="555"/>
      <c r="B83" s="222">
        <v>52030070004</v>
      </c>
      <c r="C83" s="222" t="s">
        <v>117</v>
      </c>
      <c r="D83" s="217" t="s">
        <v>2979</v>
      </c>
      <c r="E83" s="549"/>
      <c r="F83" s="556"/>
      <c r="G83" s="583"/>
      <c r="H83" s="556"/>
      <c r="I83" s="1800"/>
      <c r="J83" s="1800"/>
      <c r="K83" s="812">
        <f>K84+K86+K88+K91+K93</f>
        <v>46</v>
      </c>
      <c r="L83" s="589"/>
      <c r="M83" s="567"/>
      <c r="N83" s="562"/>
      <c r="O83" s="562"/>
      <c r="P83" s="557"/>
      <c r="Q83" s="557"/>
      <c r="R83" s="557"/>
      <c r="S83" s="557"/>
      <c r="T83" s="562"/>
      <c r="U83" s="562"/>
      <c r="V83" s="1795"/>
      <c r="W83" s="1795"/>
      <c r="X83" s="1800"/>
      <c r="Y83" s="555"/>
    </row>
    <row r="84" spans="1:25">
      <c r="A84" s="2928">
        <v>4148</v>
      </c>
      <c r="B84" s="2928"/>
      <c r="C84" s="2928" t="s">
        <v>123</v>
      </c>
      <c r="D84" s="3033" t="s">
        <v>2980</v>
      </c>
      <c r="E84" s="1746" t="s">
        <v>2981</v>
      </c>
      <c r="F84" s="556"/>
      <c r="G84" s="583"/>
      <c r="H84" s="556"/>
      <c r="I84" s="583"/>
      <c r="J84" s="1800"/>
      <c r="K84" s="557">
        <f>K85</f>
        <v>12</v>
      </c>
      <c r="L84" s="589">
        <f>L85</f>
        <v>1</v>
      </c>
      <c r="M84" s="567"/>
      <c r="N84" s="562">
        <f>N85</f>
        <v>0</v>
      </c>
      <c r="O84" s="3169">
        <f>IF(Q84&gt;0,N84,"na")</f>
        <v>0</v>
      </c>
      <c r="P84" s="1888">
        <f>P85</f>
        <v>362673150</v>
      </c>
      <c r="Q84" s="1888">
        <f t="shared" ref="Q84:S84" si="27">Q85</f>
        <v>362673150</v>
      </c>
      <c r="R84" s="1888">
        <f t="shared" si="27"/>
        <v>0</v>
      </c>
      <c r="S84" s="1888">
        <f t="shared" si="27"/>
        <v>0</v>
      </c>
      <c r="T84" s="1874">
        <f t="shared" ref="T84:U94" si="28">IF(Q84=0,0,R84/Q84)</f>
        <v>0</v>
      </c>
      <c r="U84" s="1874">
        <f t="shared" si="28"/>
        <v>0</v>
      </c>
      <c r="V84" s="1795">
        <v>45449</v>
      </c>
      <c r="W84" s="1795">
        <v>45611</v>
      </c>
      <c r="X84" s="1847"/>
      <c r="Y84" s="2926" t="s">
        <v>2841</v>
      </c>
    </row>
    <row r="85" spans="1:25" ht="66">
      <c r="A85" s="2928"/>
      <c r="B85" s="2928"/>
      <c r="C85" s="2928"/>
      <c r="D85" s="3033"/>
      <c r="E85" s="1746" t="s">
        <v>2982</v>
      </c>
      <c r="F85" s="556"/>
      <c r="G85" s="583" t="s">
        <v>2979</v>
      </c>
      <c r="H85" s="556"/>
      <c r="I85" s="583" t="s">
        <v>2983</v>
      </c>
      <c r="J85" s="583" t="s">
        <v>2847</v>
      </c>
      <c r="K85" s="557">
        <v>12</v>
      </c>
      <c r="L85" s="589">
        <v>1</v>
      </c>
      <c r="M85" s="567">
        <v>0</v>
      </c>
      <c r="N85" s="562">
        <v>0</v>
      </c>
      <c r="O85" s="3169"/>
      <c r="P85" s="1888">
        <v>362673150</v>
      </c>
      <c r="Q85" s="1888">
        <v>362673150</v>
      </c>
      <c r="R85" s="1888">
        <v>0</v>
      </c>
      <c r="S85" s="1888">
        <v>0</v>
      </c>
      <c r="T85" s="1874">
        <f t="shared" si="28"/>
        <v>0</v>
      </c>
      <c r="U85" s="1874">
        <f t="shared" si="28"/>
        <v>0</v>
      </c>
      <c r="V85" s="1795"/>
      <c r="W85" s="1795"/>
      <c r="X85" s="1847"/>
      <c r="Y85" s="2926"/>
    </row>
    <row r="86" spans="1:25">
      <c r="A86" s="2928">
        <v>4148</v>
      </c>
      <c r="B86" s="2928"/>
      <c r="C86" s="2928" t="s">
        <v>123</v>
      </c>
      <c r="D86" s="3033" t="s">
        <v>2984</v>
      </c>
      <c r="E86" s="1746" t="s">
        <v>2985</v>
      </c>
      <c r="F86" s="556"/>
      <c r="G86" s="583"/>
      <c r="H86" s="556"/>
      <c r="I86" s="583"/>
      <c r="J86" s="1800"/>
      <c r="K86" s="557">
        <f>K87</f>
        <v>1</v>
      </c>
      <c r="L86" s="589">
        <f>L87</f>
        <v>1</v>
      </c>
      <c r="M86" s="567"/>
      <c r="N86" s="562">
        <f>N87</f>
        <v>0</v>
      </c>
      <c r="O86" s="3169">
        <f>IF(V86&gt;0,N86,"na")</f>
        <v>0</v>
      </c>
      <c r="P86" s="1888">
        <f>P87</f>
        <v>70000000</v>
      </c>
      <c r="Q86" s="1888">
        <f t="shared" ref="Q86:S86" si="29">Q87</f>
        <v>70000000</v>
      </c>
      <c r="R86" s="1888">
        <f t="shared" si="29"/>
        <v>0</v>
      </c>
      <c r="S86" s="1888">
        <f t="shared" si="29"/>
        <v>0</v>
      </c>
      <c r="T86" s="1874">
        <f t="shared" si="28"/>
        <v>0</v>
      </c>
      <c r="U86" s="1874">
        <f t="shared" si="28"/>
        <v>0</v>
      </c>
      <c r="V86" s="1795">
        <v>45449</v>
      </c>
      <c r="W86" s="1795">
        <v>45611</v>
      </c>
      <c r="X86" s="1847"/>
      <c r="Y86" s="2926" t="s">
        <v>2841</v>
      </c>
    </row>
    <row r="87" spans="1:25" ht="52.8">
      <c r="A87" s="2928"/>
      <c r="B87" s="2928"/>
      <c r="C87" s="2928"/>
      <c r="D87" s="3033"/>
      <c r="E87" s="1746" t="s">
        <v>2986</v>
      </c>
      <c r="F87" s="556"/>
      <c r="G87" s="583" t="s">
        <v>2979</v>
      </c>
      <c r="H87" s="556"/>
      <c r="I87" s="1802" t="s">
        <v>2987</v>
      </c>
      <c r="J87" s="583" t="s">
        <v>2847</v>
      </c>
      <c r="K87" s="557">
        <v>1</v>
      </c>
      <c r="L87" s="589">
        <v>1</v>
      </c>
      <c r="M87" s="567">
        <v>0</v>
      </c>
      <c r="N87" s="562">
        <v>0</v>
      </c>
      <c r="O87" s="3169"/>
      <c r="P87" s="1888">
        <v>70000000</v>
      </c>
      <c r="Q87" s="1888">
        <v>70000000</v>
      </c>
      <c r="R87" s="1888">
        <v>0</v>
      </c>
      <c r="S87" s="1888">
        <v>0</v>
      </c>
      <c r="T87" s="1874">
        <f t="shared" si="28"/>
        <v>0</v>
      </c>
      <c r="U87" s="1874">
        <f t="shared" si="28"/>
        <v>0</v>
      </c>
      <c r="V87" s="1795"/>
      <c r="W87" s="1795"/>
      <c r="X87" s="1847"/>
      <c r="Y87" s="2926"/>
    </row>
    <row r="88" spans="1:25">
      <c r="A88" s="2928">
        <v>4148</v>
      </c>
      <c r="B88" s="2928"/>
      <c r="C88" s="2928" t="s">
        <v>123</v>
      </c>
      <c r="D88" s="3033" t="s">
        <v>2988</v>
      </c>
      <c r="E88" s="1746" t="s">
        <v>2989</v>
      </c>
      <c r="F88" s="556"/>
      <c r="G88" s="583"/>
      <c r="H88" s="556"/>
      <c r="I88" s="583"/>
      <c r="J88" s="583"/>
      <c r="K88" s="812">
        <f>K89</f>
        <v>25</v>
      </c>
      <c r="L88" s="1815">
        <f>SUM(L89:L90)</f>
        <v>1</v>
      </c>
      <c r="M88" s="1816"/>
      <c r="N88" s="1873">
        <f>SUM(N89:N90)</f>
        <v>1.9E-2</v>
      </c>
      <c r="O88" s="3169">
        <f>IF(Q88&gt;0,N88,"na")</f>
        <v>1.9E-2</v>
      </c>
      <c r="P88" s="1888">
        <f>SUM(P89:P90)</f>
        <v>786403000</v>
      </c>
      <c r="Q88" s="1888">
        <f t="shared" ref="Q88:S88" si="30">SUM(Q89:Q90)</f>
        <v>786403000</v>
      </c>
      <c r="R88" s="1888">
        <f t="shared" si="30"/>
        <v>567316557</v>
      </c>
      <c r="S88" s="1888">
        <f t="shared" si="30"/>
        <v>48097000</v>
      </c>
      <c r="T88" s="1874">
        <f t="shared" si="28"/>
        <v>0.72140690841718558</v>
      </c>
      <c r="U88" s="1874">
        <f t="shared" si="28"/>
        <v>8.4779827781405651E-2</v>
      </c>
      <c r="V88" s="1795"/>
      <c r="W88" s="1795"/>
      <c r="X88" s="1847"/>
      <c r="Y88" s="2926" t="s">
        <v>2841</v>
      </c>
    </row>
    <row r="89" spans="1:25" ht="132">
      <c r="A89" s="2928"/>
      <c r="B89" s="2928"/>
      <c r="C89" s="2928"/>
      <c r="D89" s="3033"/>
      <c r="E89" s="1746" t="s">
        <v>2990</v>
      </c>
      <c r="F89" s="556"/>
      <c r="G89" s="583" t="s">
        <v>2979</v>
      </c>
      <c r="H89" s="556"/>
      <c r="I89" s="583" t="s">
        <v>2991</v>
      </c>
      <c r="J89" s="583" t="s">
        <v>2941</v>
      </c>
      <c r="K89" s="812">
        <v>25</v>
      </c>
      <c r="L89" s="589">
        <v>0.85</v>
      </c>
      <c r="M89" s="567">
        <v>0</v>
      </c>
      <c r="N89" s="562">
        <v>1.9E-2</v>
      </c>
      <c r="O89" s="3169"/>
      <c r="P89" s="1888">
        <v>706265543</v>
      </c>
      <c r="Q89" s="1888">
        <v>706265543</v>
      </c>
      <c r="R89" s="1888">
        <v>567316557</v>
      </c>
      <c r="S89" s="1888">
        <v>48097000</v>
      </c>
      <c r="T89" s="1874">
        <f t="shared" si="28"/>
        <v>0.8032624026796108</v>
      </c>
      <c r="U89" s="1874">
        <f t="shared" si="28"/>
        <v>8.4779827781405651E-2</v>
      </c>
      <c r="V89" s="1795" t="s">
        <v>2992</v>
      </c>
      <c r="W89" s="1795">
        <v>45412</v>
      </c>
      <c r="X89" s="1800" t="s">
        <v>2993</v>
      </c>
      <c r="Y89" s="2926"/>
    </row>
    <row r="90" spans="1:25" ht="66">
      <c r="A90" s="2928"/>
      <c r="B90" s="2928"/>
      <c r="C90" s="2928"/>
      <c r="D90" s="3033"/>
      <c r="E90" s="1746" t="s">
        <v>2994</v>
      </c>
      <c r="F90" s="556"/>
      <c r="G90" s="583"/>
      <c r="H90" s="556"/>
      <c r="I90" s="583" t="s">
        <v>2995</v>
      </c>
      <c r="J90" s="583" t="s">
        <v>2847</v>
      </c>
      <c r="K90" s="812">
        <v>25</v>
      </c>
      <c r="L90" s="589">
        <v>0.15</v>
      </c>
      <c r="M90" s="567">
        <v>0</v>
      </c>
      <c r="N90" s="562">
        <v>0</v>
      </c>
      <c r="O90" s="3169"/>
      <c r="P90" s="1888">
        <v>80137457</v>
      </c>
      <c r="Q90" s="1888">
        <v>80137457</v>
      </c>
      <c r="R90" s="1888">
        <v>0</v>
      </c>
      <c r="S90" s="1888">
        <v>0</v>
      </c>
      <c r="T90" s="1874">
        <f t="shared" si="28"/>
        <v>0</v>
      </c>
      <c r="U90" s="1874">
        <f t="shared" si="28"/>
        <v>0</v>
      </c>
      <c r="V90" s="1795"/>
      <c r="W90" s="1795"/>
      <c r="X90" s="1800"/>
      <c r="Y90" s="2926"/>
    </row>
    <row r="91" spans="1:25">
      <c r="A91" s="2928">
        <v>4148</v>
      </c>
      <c r="B91" s="2928"/>
      <c r="C91" s="2928" t="s">
        <v>123</v>
      </c>
      <c r="D91" s="3033" t="s">
        <v>2996</v>
      </c>
      <c r="E91" s="1746" t="s">
        <v>2997</v>
      </c>
      <c r="F91" s="556"/>
      <c r="G91" s="583"/>
      <c r="H91" s="556"/>
      <c r="I91" s="583"/>
      <c r="J91" s="1800"/>
      <c r="K91" s="557">
        <f>K92</f>
        <v>4</v>
      </c>
      <c r="L91" s="589">
        <f>L92</f>
        <v>1</v>
      </c>
      <c r="M91" s="567"/>
      <c r="N91" s="562">
        <f>N92</f>
        <v>0</v>
      </c>
      <c r="O91" s="3169">
        <f>IF(Q91&gt;0,N91,"na")</f>
        <v>0</v>
      </c>
      <c r="P91" s="1888">
        <f>P92</f>
        <v>161796000</v>
      </c>
      <c r="Q91" s="1888">
        <f t="shared" ref="Q91:S91" si="31">Q92</f>
        <v>161796000</v>
      </c>
      <c r="R91" s="1888">
        <f t="shared" si="31"/>
        <v>0</v>
      </c>
      <c r="S91" s="1888">
        <f t="shared" si="31"/>
        <v>0</v>
      </c>
      <c r="T91" s="1874">
        <f t="shared" si="28"/>
        <v>0</v>
      </c>
      <c r="U91" s="1874">
        <f t="shared" si="28"/>
        <v>0</v>
      </c>
      <c r="V91" s="1795">
        <v>45449</v>
      </c>
      <c r="W91" s="1795">
        <v>45611</v>
      </c>
      <c r="X91" s="1847"/>
      <c r="Y91" s="2926" t="s">
        <v>2841</v>
      </c>
    </row>
    <row r="92" spans="1:25" ht="52.8">
      <c r="A92" s="2928"/>
      <c r="B92" s="2928"/>
      <c r="C92" s="2928"/>
      <c r="D92" s="3033"/>
      <c r="E92" s="1746" t="s">
        <v>2998</v>
      </c>
      <c r="F92" s="556"/>
      <c r="G92" s="583" t="s">
        <v>2979</v>
      </c>
      <c r="H92" s="556"/>
      <c r="I92" s="1802" t="s">
        <v>2999</v>
      </c>
      <c r="J92" s="583" t="s">
        <v>2847</v>
      </c>
      <c r="K92" s="557">
        <v>4</v>
      </c>
      <c r="L92" s="589">
        <v>1</v>
      </c>
      <c r="M92" s="567">
        <v>0</v>
      </c>
      <c r="N92" s="562">
        <v>0</v>
      </c>
      <c r="O92" s="3169"/>
      <c r="P92" s="1888">
        <v>161796000</v>
      </c>
      <c r="Q92" s="1888">
        <v>161796000</v>
      </c>
      <c r="R92" s="1888">
        <v>0</v>
      </c>
      <c r="S92" s="1888">
        <v>0</v>
      </c>
      <c r="T92" s="1874">
        <f t="shared" si="28"/>
        <v>0</v>
      </c>
      <c r="U92" s="1874">
        <f t="shared" si="28"/>
        <v>0</v>
      </c>
      <c r="V92" s="1795"/>
      <c r="W92" s="1795"/>
      <c r="X92" s="1847"/>
      <c r="Y92" s="2926"/>
    </row>
    <row r="93" spans="1:25">
      <c r="A93" s="2928">
        <v>4148</v>
      </c>
      <c r="B93" s="2928"/>
      <c r="C93" s="2928" t="s">
        <v>123</v>
      </c>
      <c r="D93" s="3033" t="s">
        <v>3000</v>
      </c>
      <c r="E93" s="1746" t="s">
        <v>3001</v>
      </c>
      <c r="F93" s="556"/>
      <c r="G93" s="583"/>
      <c r="H93" s="556"/>
      <c r="I93" s="583"/>
      <c r="J93" s="1800"/>
      <c r="K93" s="557">
        <f>K94</f>
        <v>4</v>
      </c>
      <c r="L93" s="589">
        <f>L94</f>
        <v>1</v>
      </c>
      <c r="M93" s="567"/>
      <c r="N93" s="562">
        <f>N94</f>
        <v>0</v>
      </c>
      <c r="O93" s="3169">
        <f>IF(Q93&gt;0,N93,"na")</f>
        <v>0</v>
      </c>
      <c r="P93" s="1888">
        <f>P94</f>
        <v>310041500</v>
      </c>
      <c r="Q93" s="1888">
        <f t="shared" ref="Q93:S93" si="32">Q94</f>
        <v>310041500</v>
      </c>
      <c r="R93" s="1888">
        <f t="shared" si="32"/>
        <v>0</v>
      </c>
      <c r="S93" s="1888">
        <f t="shared" si="32"/>
        <v>0</v>
      </c>
      <c r="T93" s="1874">
        <f t="shared" si="28"/>
        <v>0</v>
      </c>
      <c r="U93" s="1874">
        <f t="shared" si="28"/>
        <v>0</v>
      </c>
      <c r="V93" s="1795">
        <v>45449</v>
      </c>
      <c r="W93" s="1795">
        <v>45611</v>
      </c>
      <c r="X93" s="1847"/>
      <c r="Y93" s="2926" t="s">
        <v>2841</v>
      </c>
    </row>
    <row r="94" spans="1:25" ht="52.8">
      <c r="A94" s="2928"/>
      <c r="B94" s="2928"/>
      <c r="C94" s="2928"/>
      <c r="D94" s="3033"/>
      <c r="E94" s="1746" t="s">
        <v>3002</v>
      </c>
      <c r="F94" s="556"/>
      <c r="G94" s="583" t="s">
        <v>2979</v>
      </c>
      <c r="H94" s="556"/>
      <c r="I94" s="1802" t="s">
        <v>2999</v>
      </c>
      <c r="J94" s="583" t="s">
        <v>2847</v>
      </c>
      <c r="K94" s="557">
        <v>4</v>
      </c>
      <c r="L94" s="589">
        <v>1</v>
      </c>
      <c r="M94" s="567">
        <v>0</v>
      </c>
      <c r="N94" s="562">
        <v>0</v>
      </c>
      <c r="O94" s="3169"/>
      <c r="P94" s="1888">
        <v>310041500</v>
      </c>
      <c r="Q94" s="1888">
        <v>310041500</v>
      </c>
      <c r="R94" s="1888">
        <v>0</v>
      </c>
      <c r="S94" s="1888">
        <v>0</v>
      </c>
      <c r="T94" s="1874">
        <f t="shared" si="28"/>
        <v>0</v>
      </c>
      <c r="U94" s="1874">
        <f t="shared" si="28"/>
        <v>0</v>
      </c>
      <c r="V94" s="1795"/>
      <c r="W94" s="1795"/>
      <c r="X94" s="1847"/>
      <c r="Y94" s="2926"/>
    </row>
    <row r="95" spans="1:25">
      <c r="A95" s="555"/>
      <c r="B95" s="214">
        <v>5203008</v>
      </c>
      <c r="C95" s="214" t="s">
        <v>116</v>
      </c>
      <c r="D95" s="215" t="s">
        <v>175</v>
      </c>
      <c r="E95" s="549"/>
      <c r="F95" s="556"/>
      <c r="G95" s="583"/>
      <c r="H95" s="556"/>
      <c r="I95" s="1800"/>
      <c r="J95" s="1800"/>
      <c r="K95" s="557"/>
      <c r="L95" s="589"/>
      <c r="M95" s="567"/>
      <c r="N95" s="562"/>
      <c r="O95" s="562"/>
      <c r="P95" s="557"/>
      <c r="Q95" s="557"/>
      <c r="R95" s="557"/>
      <c r="S95" s="557"/>
      <c r="T95" s="562"/>
      <c r="U95" s="562"/>
      <c r="V95" s="1795"/>
      <c r="W95" s="1795"/>
      <c r="X95" s="1800"/>
      <c r="Y95" s="555"/>
    </row>
    <row r="96" spans="1:25" ht="27.6">
      <c r="A96" s="555"/>
      <c r="B96" s="222">
        <v>52030080007</v>
      </c>
      <c r="C96" s="222" t="s">
        <v>117</v>
      </c>
      <c r="D96" s="217" t="s">
        <v>3003</v>
      </c>
      <c r="E96" s="549"/>
      <c r="F96" s="556"/>
      <c r="G96" s="583"/>
      <c r="H96" s="556"/>
      <c r="I96" s="1800"/>
      <c r="J96" s="1800"/>
      <c r="K96" s="557">
        <f>K97</f>
        <v>55</v>
      </c>
      <c r="L96" s="589"/>
      <c r="M96" s="567"/>
      <c r="N96" s="562"/>
      <c r="O96" s="562"/>
      <c r="P96" s="557"/>
      <c r="Q96" s="557"/>
      <c r="R96" s="557"/>
      <c r="S96" s="557"/>
      <c r="T96" s="562"/>
      <c r="U96" s="562"/>
      <c r="V96" s="1795"/>
      <c r="W96" s="1795"/>
      <c r="X96" s="1800"/>
      <c r="Y96" s="555"/>
    </row>
    <row r="97" spans="1:25">
      <c r="A97" s="2928">
        <v>4148</v>
      </c>
      <c r="B97" s="2928"/>
      <c r="C97" s="2928" t="s">
        <v>123</v>
      </c>
      <c r="D97" s="3033" t="s">
        <v>3004</v>
      </c>
      <c r="E97" s="1746" t="s">
        <v>3005</v>
      </c>
      <c r="F97" s="556"/>
      <c r="G97" s="583"/>
      <c r="H97" s="556"/>
      <c r="I97" s="1800"/>
      <c r="J97" s="1800"/>
      <c r="K97" s="812">
        <f>SUM(K98:K100)</f>
        <v>55</v>
      </c>
      <c r="L97" s="589">
        <f>SUM(L98:L100)</f>
        <v>1</v>
      </c>
      <c r="M97" s="567"/>
      <c r="N97" s="562">
        <f>SUM(N98:N100)</f>
        <v>1.4E-2</v>
      </c>
      <c r="O97" s="3169">
        <f>IF(Q97&gt;0,N97,"na")</f>
        <v>1.4E-2</v>
      </c>
      <c r="P97" s="557">
        <f>SUM(P98:P100)</f>
        <v>2454800552</v>
      </c>
      <c r="Q97" s="557">
        <f t="shared" ref="Q97:S97" si="33">SUM(Q98:Q100)</f>
        <v>2454800552</v>
      </c>
      <c r="R97" s="557">
        <f t="shared" si="33"/>
        <v>72004000</v>
      </c>
      <c r="S97" s="557">
        <f t="shared" si="33"/>
        <v>32378000</v>
      </c>
      <c r="T97" s="1874">
        <f t="shared" ref="T97:U104" si="34">IF(Q97=0,0,R97/Q97)</f>
        <v>2.9331914538366945E-2</v>
      </c>
      <c r="U97" s="1874">
        <f t="shared" si="34"/>
        <v>0.44966946280762182</v>
      </c>
      <c r="V97" s="1795"/>
      <c r="W97" s="1795"/>
      <c r="X97" s="1847"/>
      <c r="Y97" s="3174" t="s">
        <v>2863</v>
      </c>
    </row>
    <row r="98" spans="1:25" ht="118.8">
      <c r="A98" s="2928"/>
      <c r="B98" s="2928"/>
      <c r="C98" s="2928"/>
      <c r="D98" s="3033"/>
      <c r="E98" s="549" t="s">
        <v>3006</v>
      </c>
      <c r="F98" s="556"/>
      <c r="G98" s="212" t="s">
        <v>3003</v>
      </c>
      <c r="H98" s="556"/>
      <c r="I98" s="583" t="s">
        <v>3007</v>
      </c>
      <c r="J98" s="1800" t="s">
        <v>3008</v>
      </c>
      <c r="K98" s="557">
        <v>49</v>
      </c>
      <c r="L98" s="589">
        <v>0.7</v>
      </c>
      <c r="M98" s="567">
        <v>5</v>
      </c>
      <c r="N98" s="562">
        <v>1.4E-2</v>
      </c>
      <c r="O98" s="3169"/>
      <c r="P98" s="1888">
        <v>1680537794</v>
      </c>
      <c r="Q98" s="1888">
        <v>1680537794</v>
      </c>
      <c r="R98" s="1888">
        <v>72004000</v>
      </c>
      <c r="S98" s="1888">
        <v>32378000</v>
      </c>
      <c r="T98" s="1874">
        <f t="shared" si="34"/>
        <v>4.2845808203228065E-2</v>
      </c>
      <c r="U98" s="1874">
        <f t="shared" si="34"/>
        <v>0.44966946280762182</v>
      </c>
      <c r="V98" s="1795">
        <v>45323</v>
      </c>
      <c r="W98" s="1795">
        <v>45412</v>
      </c>
      <c r="X98" s="1800" t="s">
        <v>3009</v>
      </c>
      <c r="Y98" s="3174"/>
    </row>
    <row r="99" spans="1:25" ht="118.8">
      <c r="A99" s="2928"/>
      <c r="B99" s="2928"/>
      <c r="C99" s="2928"/>
      <c r="D99" s="3033"/>
      <c r="E99" s="549" t="s">
        <v>3010</v>
      </c>
      <c r="F99" s="556"/>
      <c r="G99" s="212" t="s">
        <v>3003</v>
      </c>
      <c r="H99" s="556"/>
      <c r="I99" s="583" t="s">
        <v>3011</v>
      </c>
      <c r="J99" s="1800" t="s">
        <v>3012</v>
      </c>
      <c r="K99" s="557">
        <v>3</v>
      </c>
      <c r="L99" s="589">
        <v>0.05</v>
      </c>
      <c r="M99" s="567">
        <v>0</v>
      </c>
      <c r="N99" s="562">
        <v>0</v>
      </c>
      <c r="O99" s="3169"/>
      <c r="P99" s="1888">
        <v>528957772</v>
      </c>
      <c r="Q99" s="1888">
        <v>528957772</v>
      </c>
      <c r="R99" s="1888">
        <v>0</v>
      </c>
      <c r="S99" s="1888">
        <v>0</v>
      </c>
      <c r="T99" s="1874">
        <f t="shared" si="34"/>
        <v>0</v>
      </c>
      <c r="U99" s="1874">
        <f t="shared" si="34"/>
        <v>0</v>
      </c>
      <c r="V99" s="1795"/>
      <c r="W99" s="1795"/>
      <c r="X99" s="1800"/>
      <c r="Y99" s="3174"/>
    </row>
    <row r="100" spans="1:25" ht="118.8">
      <c r="A100" s="2928"/>
      <c r="B100" s="2928"/>
      <c r="C100" s="2928"/>
      <c r="D100" s="3033"/>
      <c r="E100" s="549" t="s">
        <v>3013</v>
      </c>
      <c r="F100" s="556"/>
      <c r="G100" s="212" t="s">
        <v>3003</v>
      </c>
      <c r="H100" s="556"/>
      <c r="I100" s="583" t="s">
        <v>3014</v>
      </c>
      <c r="J100" s="583" t="s">
        <v>3015</v>
      </c>
      <c r="K100" s="557">
        <v>3</v>
      </c>
      <c r="L100" s="589">
        <v>0.25</v>
      </c>
      <c r="M100" s="567">
        <v>0</v>
      </c>
      <c r="N100" s="562">
        <v>0</v>
      </c>
      <c r="O100" s="3169"/>
      <c r="P100" s="1888">
        <v>245304986</v>
      </c>
      <c r="Q100" s="1888">
        <v>245304986</v>
      </c>
      <c r="R100" s="1888">
        <v>0</v>
      </c>
      <c r="S100" s="1888">
        <v>0</v>
      </c>
      <c r="T100" s="1874">
        <f t="shared" si="34"/>
        <v>0</v>
      </c>
      <c r="U100" s="1874">
        <f t="shared" si="34"/>
        <v>0</v>
      </c>
      <c r="V100" s="1795"/>
      <c r="W100" s="1795"/>
      <c r="X100" s="1800"/>
      <c r="Y100" s="3174"/>
    </row>
    <row r="101" spans="1:25">
      <c r="A101" s="2928">
        <v>4148</v>
      </c>
      <c r="B101" s="2928"/>
      <c r="C101" s="2928" t="s">
        <v>123</v>
      </c>
      <c r="D101" s="3033" t="s">
        <v>3016</v>
      </c>
      <c r="E101" s="1746" t="s">
        <v>3017</v>
      </c>
      <c r="F101" s="556"/>
      <c r="G101" s="583"/>
      <c r="H101" s="556"/>
      <c r="I101" s="583"/>
      <c r="J101" s="583"/>
      <c r="K101" s="557">
        <f>K102</f>
        <v>30</v>
      </c>
      <c r="L101" s="1815">
        <f>L102</f>
        <v>1</v>
      </c>
      <c r="M101" s="1816"/>
      <c r="N101" s="1873">
        <f>N102</f>
        <v>0</v>
      </c>
      <c r="O101" s="3169">
        <f>IF(Q101&gt;0,N101,"na")</f>
        <v>0</v>
      </c>
      <c r="P101" s="1888">
        <f>P102</f>
        <v>1286174980</v>
      </c>
      <c r="Q101" s="1888">
        <f t="shared" ref="Q101:S101" si="35">Q102</f>
        <v>1286174980</v>
      </c>
      <c r="R101" s="1888">
        <f t="shared" si="35"/>
        <v>0</v>
      </c>
      <c r="S101" s="1888">
        <f t="shared" si="35"/>
        <v>0</v>
      </c>
      <c r="T101" s="1874">
        <f t="shared" si="34"/>
        <v>0</v>
      </c>
      <c r="U101" s="1874">
        <f t="shared" si="34"/>
        <v>0</v>
      </c>
      <c r="V101" s="1795">
        <v>45449</v>
      </c>
      <c r="W101" s="1795">
        <v>45611</v>
      </c>
      <c r="X101" s="1847"/>
      <c r="Y101" s="2926" t="s">
        <v>2863</v>
      </c>
    </row>
    <row r="102" spans="1:25" ht="118.8">
      <c r="A102" s="2928"/>
      <c r="B102" s="2928"/>
      <c r="C102" s="2928"/>
      <c r="D102" s="3033"/>
      <c r="E102" s="1746" t="s">
        <v>3018</v>
      </c>
      <c r="F102" s="556"/>
      <c r="G102" s="583" t="s">
        <v>3003</v>
      </c>
      <c r="H102" s="556"/>
      <c r="I102" s="583" t="s">
        <v>3019</v>
      </c>
      <c r="J102" s="583" t="s">
        <v>3020</v>
      </c>
      <c r="K102" s="557">
        <v>30</v>
      </c>
      <c r="L102" s="589">
        <v>1</v>
      </c>
      <c r="M102" s="567">
        <v>0</v>
      </c>
      <c r="N102" s="562">
        <v>0</v>
      </c>
      <c r="O102" s="3169"/>
      <c r="P102" s="1888">
        <v>1286174980</v>
      </c>
      <c r="Q102" s="1888">
        <v>1286174980</v>
      </c>
      <c r="R102" s="1888">
        <v>0</v>
      </c>
      <c r="S102" s="1888">
        <v>0</v>
      </c>
      <c r="T102" s="1874">
        <f t="shared" si="34"/>
        <v>0</v>
      </c>
      <c r="U102" s="1874">
        <f t="shared" si="34"/>
        <v>0</v>
      </c>
      <c r="V102" s="1795"/>
      <c r="W102" s="1795"/>
      <c r="X102" s="1847"/>
      <c r="Y102" s="2926"/>
    </row>
    <row r="103" spans="1:25">
      <c r="A103" s="2928">
        <v>4148</v>
      </c>
      <c r="B103" s="2928"/>
      <c r="C103" s="2928" t="s">
        <v>123</v>
      </c>
      <c r="D103" s="3033" t="s">
        <v>3021</v>
      </c>
      <c r="E103" s="1746" t="s">
        <v>3022</v>
      </c>
      <c r="F103" s="556"/>
      <c r="G103" s="583"/>
      <c r="H103" s="556"/>
      <c r="I103" s="583"/>
      <c r="J103" s="1800"/>
      <c r="K103" s="557">
        <f>K104</f>
        <v>1</v>
      </c>
      <c r="L103" s="589">
        <f>L104</f>
        <v>1</v>
      </c>
      <c r="M103" s="567"/>
      <c r="N103" s="562">
        <f>N104</f>
        <v>0</v>
      </c>
      <c r="O103" s="3169">
        <f>IF(Q103&gt;0,N103,"na")</f>
        <v>0</v>
      </c>
      <c r="P103" s="1888">
        <f>P104</f>
        <v>29118312</v>
      </c>
      <c r="Q103" s="1888">
        <f t="shared" ref="Q103:S103" si="36">Q104</f>
        <v>29118312</v>
      </c>
      <c r="R103" s="1888">
        <f t="shared" si="36"/>
        <v>0</v>
      </c>
      <c r="S103" s="1888">
        <f t="shared" si="36"/>
        <v>0</v>
      </c>
      <c r="T103" s="1874">
        <f t="shared" si="34"/>
        <v>0</v>
      </c>
      <c r="U103" s="1874">
        <f t="shared" si="34"/>
        <v>0</v>
      </c>
      <c r="V103" s="1795">
        <v>45449</v>
      </c>
      <c r="W103" s="1795">
        <v>45611</v>
      </c>
      <c r="X103" s="1847"/>
      <c r="Y103" s="2926" t="s">
        <v>2863</v>
      </c>
    </row>
    <row r="104" spans="1:25" ht="118.8">
      <c r="A104" s="2928"/>
      <c r="B104" s="2928"/>
      <c r="C104" s="2928"/>
      <c r="D104" s="3033"/>
      <c r="E104" s="1746" t="s">
        <v>3023</v>
      </c>
      <c r="F104" s="556"/>
      <c r="G104" s="583" t="s">
        <v>3003</v>
      </c>
      <c r="H104" s="556"/>
      <c r="I104" s="583" t="s">
        <v>3024</v>
      </c>
      <c r="J104" s="1800" t="s">
        <v>3012</v>
      </c>
      <c r="K104" s="557">
        <v>1</v>
      </c>
      <c r="L104" s="589">
        <v>1</v>
      </c>
      <c r="M104" s="567">
        <v>0</v>
      </c>
      <c r="N104" s="562">
        <v>0</v>
      </c>
      <c r="O104" s="3169"/>
      <c r="P104" s="1888">
        <v>29118312</v>
      </c>
      <c r="Q104" s="1888">
        <v>29118312</v>
      </c>
      <c r="R104" s="1888">
        <v>0</v>
      </c>
      <c r="S104" s="1888">
        <v>0</v>
      </c>
      <c r="T104" s="1874">
        <f t="shared" si="34"/>
        <v>0</v>
      </c>
      <c r="U104" s="1874">
        <f t="shared" si="34"/>
        <v>0</v>
      </c>
      <c r="V104" s="1795"/>
      <c r="W104" s="1795"/>
      <c r="X104" s="1847"/>
      <c r="Y104" s="2926"/>
    </row>
    <row r="105" spans="1:25">
      <c r="A105" s="555"/>
      <c r="B105" s="214">
        <v>5204</v>
      </c>
      <c r="C105" s="214" t="s">
        <v>115</v>
      </c>
      <c r="D105" s="215" t="s">
        <v>3025</v>
      </c>
      <c r="E105" s="549"/>
      <c r="F105" s="556"/>
      <c r="G105" s="583"/>
      <c r="H105" s="556"/>
      <c r="I105" s="1800"/>
      <c r="J105" s="1800"/>
      <c r="K105" s="557"/>
      <c r="L105" s="589"/>
      <c r="M105" s="567"/>
      <c r="N105" s="562"/>
      <c r="O105" s="562"/>
      <c r="P105" s="557"/>
      <c r="Q105" s="557"/>
      <c r="R105" s="557"/>
      <c r="S105" s="557"/>
      <c r="T105" s="562"/>
      <c r="U105" s="562"/>
      <c r="V105" s="1795"/>
      <c r="W105" s="1795"/>
      <c r="X105" s="1800"/>
      <c r="Y105" s="555"/>
    </row>
    <row r="106" spans="1:25">
      <c r="A106" s="555"/>
      <c r="B106" s="214">
        <v>5204004</v>
      </c>
      <c r="C106" s="214" t="s">
        <v>116</v>
      </c>
      <c r="D106" s="215" t="s">
        <v>3026</v>
      </c>
      <c r="E106" s="549"/>
      <c r="F106" s="556"/>
      <c r="G106" s="583"/>
      <c r="H106" s="556"/>
      <c r="I106" s="1800"/>
      <c r="J106" s="1800"/>
      <c r="K106" s="557"/>
      <c r="L106" s="589"/>
      <c r="M106" s="567"/>
      <c r="N106" s="562"/>
      <c r="O106" s="562"/>
      <c r="P106" s="557"/>
      <c r="Q106" s="557"/>
      <c r="R106" s="557"/>
      <c r="S106" s="557"/>
      <c r="T106" s="562"/>
      <c r="U106" s="562"/>
      <c r="V106" s="1795"/>
      <c r="W106" s="1795"/>
      <c r="X106" s="1800"/>
      <c r="Y106" s="555"/>
    </row>
    <row r="107" spans="1:25">
      <c r="A107" s="555"/>
      <c r="B107" s="222">
        <v>52040040001</v>
      </c>
      <c r="C107" s="222" t="s">
        <v>117</v>
      </c>
      <c r="D107" s="217" t="s">
        <v>3027</v>
      </c>
      <c r="E107" s="549"/>
      <c r="F107" s="556"/>
      <c r="G107" s="583"/>
      <c r="H107" s="556"/>
      <c r="I107" s="1800"/>
      <c r="J107" s="1800"/>
      <c r="K107" s="557">
        <f>K108</f>
        <v>87</v>
      </c>
      <c r="L107" s="589"/>
      <c r="M107" s="567"/>
      <c r="N107" s="562"/>
      <c r="O107" s="562"/>
      <c r="P107" s="557"/>
      <c r="Q107" s="557"/>
      <c r="R107" s="557"/>
      <c r="S107" s="557"/>
      <c r="T107" s="562"/>
      <c r="U107" s="562"/>
      <c r="V107" s="1795"/>
      <c r="W107" s="1795"/>
      <c r="X107" s="1800"/>
      <c r="Y107" s="555"/>
    </row>
    <row r="108" spans="1:25">
      <c r="A108" s="2928">
        <v>4148</v>
      </c>
      <c r="B108" s="2928"/>
      <c r="C108" s="2928" t="s">
        <v>123</v>
      </c>
      <c r="D108" s="3033" t="s">
        <v>3028</v>
      </c>
      <c r="E108" s="1746" t="s">
        <v>3029</v>
      </c>
      <c r="F108" s="556"/>
      <c r="G108" s="583"/>
      <c r="H108" s="556"/>
      <c r="I108" s="1800"/>
      <c r="J108" s="1800"/>
      <c r="K108" s="557">
        <f>K110</f>
        <v>87</v>
      </c>
      <c r="L108" s="589">
        <f>SUM(L109:L110)</f>
        <v>1</v>
      </c>
      <c r="M108" s="567"/>
      <c r="N108" s="562">
        <f>SUM(N109:N110)</f>
        <v>0.01</v>
      </c>
      <c r="O108" s="3169">
        <f>IF(Q108&gt;0,N108,"na")</f>
        <v>0.01</v>
      </c>
      <c r="P108" s="557">
        <f>SUM(P109:P110)</f>
        <v>969804907</v>
      </c>
      <c r="Q108" s="557">
        <f t="shared" ref="Q108:S108" si="37">SUM(Q109:Q110)</f>
        <v>969804907</v>
      </c>
      <c r="R108" s="557">
        <f t="shared" si="37"/>
        <v>20924000</v>
      </c>
      <c r="S108" s="557">
        <f t="shared" si="37"/>
        <v>15693000</v>
      </c>
      <c r="T108" s="1874">
        <f t="shared" ref="T108:U110" si="38">IF(Q108=0,0,R108/Q108)</f>
        <v>2.1575473426636311E-2</v>
      </c>
      <c r="U108" s="1874">
        <f t="shared" si="38"/>
        <v>0.75</v>
      </c>
      <c r="V108" s="1795"/>
      <c r="W108" s="1795"/>
      <c r="X108" s="1847"/>
      <c r="Y108" s="2926" t="s">
        <v>2863</v>
      </c>
    </row>
    <row r="109" spans="1:25" ht="118.8">
      <c r="A109" s="2928"/>
      <c r="B109" s="2928"/>
      <c r="C109" s="2928"/>
      <c r="D109" s="3033"/>
      <c r="E109" s="549" t="s">
        <v>3030</v>
      </c>
      <c r="F109" s="556"/>
      <c r="G109" s="583"/>
      <c r="H109" s="556"/>
      <c r="I109" s="583" t="s">
        <v>3031</v>
      </c>
      <c r="J109" s="1800" t="s">
        <v>2912</v>
      </c>
      <c r="K109" s="557">
        <v>3200</v>
      </c>
      <c r="L109" s="589">
        <v>0.68</v>
      </c>
      <c r="M109" s="567">
        <v>0</v>
      </c>
      <c r="N109" s="562">
        <v>0.01</v>
      </c>
      <c r="O109" s="3169"/>
      <c r="P109" s="1888">
        <v>659143935</v>
      </c>
      <c r="Q109" s="1888">
        <v>659143935</v>
      </c>
      <c r="R109" s="1888">
        <v>20924000</v>
      </c>
      <c r="S109" s="1888">
        <v>15693000</v>
      </c>
      <c r="T109" s="1874">
        <f t="shared" si="38"/>
        <v>3.1744204700904971E-2</v>
      </c>
      <c r="U109" s="1874">
        <f t="shared" si="38"/>
        <v>0.75</v>
      </c>
      <c r="V109" s="1795">
        <v>45323</v>
      </c>
      <c r="W109" s="1795">
        <v>45412</v>
      </c>
      <c r="X109" s="1800" t="s">
        <v>3032</v>
      </c>
      <c r="Y109" s="2926"/>
    </row>
    <row r="110" spans="1:25" ht="79.2">
      <c r="A110" s="2928"/>
      <c r="B110" s="2928"/>
      <c r="C110" s="2928"/>
      <c r="D110" s="3033"/>
      <c r="E110" s="549" t="s">
        <v>3033</v>
      </c>
      <c r="F110" s="556"/>
      <c r="G110" s="583" t="s">
        <v>3027</v>
      </c>
      <c r="H110" s="556"/>
      <c r="I110" s="583" t="s">
        <v>3034</v>
      </c>
      <c r="J110" s="583" t="s">
        <v>3035</v>
      </c>
      <c r="K110" s="557">
        <v>87</v>
      </c>
      <c r="L110" s="589">
        <v>0.32</v>
      </c>
      <c r="M110" s="567">
        <v>0</v>
      </c>
      <c r="N110" s="562">
        <v>0</v>
      </c>
      <c r="O110" s="3169"/>
      <c r="P110" s="1888">
        <v>310660972</v>
      </c>
      <c r="Q110" s="1888">
        <v>310660972</v>
      </c>
      <c r="R110" s="1888">
        <v>0</v>
      </c>
      <c r="S110" s="1888">
        <v>0</v>
      </c>
      <c r="T110" s="1874">
        <f t="shared" si="38"/>
        <v>0</v>
      </c>
      <c r="U110" s="1874">
        <f t="shared" si="38"/>
        <v>0</v>
      </c>
      <c r="V110" s="1795"/>
      <c r="W110" s="1795"/>
      <c r="X110" s="1800"/>
      <c r="Y110" s="2926"/>
    </row>
    <row r="111" spans="1:25" ht="27.6">
      <c r="A111" s="555"/>
      <c r="B111" s="222">
        <v>52040040002</v>
      </c>
      <c r="C111" s="222" t="s">
        <v>117</v>
      </c>
      <c r="D111" s="217" t="s">
        <v>3036</v>
      </c>
      <c r="E111" s="549"/>
      <c r="F111" s="556"/>
      <c r="G111" s="583"/>
      <c r="H111" s="556"/>
      <c r="I111" s="1800"/>
      <c r="J111" s="1800"/>
      <c r="K111" s="557">
        <f>K112</f>
        <v>64</v>
      </c>
      <c r="L111" s="589"/>
      <c r="M111" s="567"/>
      <c r="N111" s="562"/>
      <c r="O111" s="562"/>
      <c r="P111" s="557"/>
      <c r="Q111" s="557"/>
      <c r="R111" s="557"/>
      <c r="S111" s="557"/>
      <c r="T111" s="562"/>
      <c r="U111" s="562"/>
      <c r="V111" s="1795"/>
      <c r="W111" s="1795"/>
      <c r="X111" s="1800"/>
      <c r="Y111" s="555"/>
    </row>
    <row r="112" spans="1:25">
      <c r="A112" s="2928">
        <v>4148</v>
      </c>
      <c r="B112" s="2928"/>
      <c r="C112" s="2928" t="s">
        <v>123</v>
      </c>
      <c r="D112" s="3033" t="s">
        <v>3037</v>
      </c>
      <c r="E112" s="1746" t="s">
        <v>3038</v>
      </c>
      <c r="F112" s="556"/>
      <c r="G112" s="583"/>
      <c r="H112" s="556"/>
      <c r="I112" s="1800"/>
      <c r="J112" s="1800"/>
      <c r="K112" s="557">
        <v>64</v>
      </c>
      <c r="L112" s="589">
        <f>SUM(L113:L114)</f>
        <v>1</v>
      </c>
      <c r="M112" s="567"/>
      <c r="N112" s="562">
        <f>SUM(N113:N114)</f>
        <v>0.12</v>
      </c>
      <c r="O112" s="3169">
        <f>IF(Q112&gt;0,N112,"na")</f>
        <v>0.12</v>
      </c>
      <c r="P112" s="557">
        <f>SUM(P113:P114)</f>
        <v>4882193209</v>
      </c>
      <c r="Q112" s="557">
        <f t="shared" ref="Q112:S112" si="39">SUM(Q113:Q114)</f>
        <v>4882193209</v>
      </c>
      <c r="R112" s="557">
        <f t="shared" si="39"/>
        <v>933954000</v>
      </c>
      <c r="S112" s="557">
        <f t="shared" si="39"/>
        <v>250015250</v>
      </c>
      <c r="T112" s="1874">
        <f t="shared" ref="T112:U114" si="40">IF(Q112=0,0,R112/Q112)</f>
        <v>0.19129804168305295</v>
      </c>
      <c r="U112" s="1874">
        <f t="shared" si="40"/>
        <v>0.26769546465885902</v>
      </c>
      <c r="V112" s="1795"/>
      <c r="W112" s="1795"/>
      <c r="X112" s="1847"/>
      <c r="Y112" s="2926" t="s">
        <v>2863</v>
      </c>
    </row>
    <row r="113" spans="1:25" ht="158.4">
      <c r="A113" s="2928"/>
      <c r="B113" s="2928"/>
      <c r="C113" s="2928"/>
      <c r="D113" s="3033"/>
      <c r="E113" s="549" t="s">
        <v>3039</v>
      </c>
      <c r="F113" s="556"/>
      <c r="G113" s="583" t="s">
        <v>3036</v>
      </c>
      <c r="H113" s="556"/>
      <c r="I113" s="583" t="s">
        <v>3040</v>
      </c>
      <c r="J113" s="583" t="s">
        <v>2912</v>
      </c>
      <c r="K113" s="557">
        <v>57</v>
      </c>
      <c r="L113" s="589">
        <v>0.97</v>
      </c>
      <c r="M113" s="567">
        <v>0</v>
      </c>
      <c r="N113" s="562">
        <v>0.12</v>
      </c>
      <c r="O113" s="3169"/>
      <c r="P113" s="1888">
        <v>4746193209</v>
      </c>
      <c r="Q113" s="1888">
        <v>4746193209</v>
      </c>
      <c r="R113" s="1888">
        <v>933954000</v>
      </c>
      <c r="S113" s="1888">
        <v>250015250</v>
      </c>
      <c r="T113" s="1874">
        <f t="shared" si="40"/>
        <v>0.19677959974932829</v>
      </c>
      <c r="U113" s="1874">
        <f t="shared" si="40"/>
        <v>0.26769546465885902</v>
      </c>
      <c r="V113" s="1795">
        <v>45322</v>
      </c>
      <c r="W113" s="1795">
        <v>45412</v>
      </c>
      <c r="X113" s="1800" t="s">
        <v>3041</v>
      </c>
      <c r="Y113" s="2926"/>
    </row>
    <row r="114" spans="1:25" ht="79.2">
      <c r="A114" s="2928"/>
      <c r="B114" s="2928"/>
      <c r="C114" s="2928"/>
      <c r="D114" s="3033"/>
      <c r="E114" s="549" t="s">
        <v>3042</v>
      </c>
      <c r="F114" s="556"/>
      <c r="G114" s="583"/>
      <c r="H114" s="556"/>
      <c r="I114" s="583" t="s">
        <v>3043</v>
      </c>
      <c r="J114" s="583" t="s">
        <v>3044</v>
      </c>
      <c r="K114" s="557">
        <v>5000</v>
      </c>
      <c r="L114" s="589">
        <v>0.03</v>
      </c>
      <c r="M114" s="567">
        <v>0</v>
      </c>
      <c r="N114" s="562">
        <v>0</v>
      </c>
      <c r="O114" s="3169"/>
      <c r="P114" s="1888">
        <v>136000000</v>
      </c>
      <c r="Q114" s="1888">
        <v>136000000</v>
      </c>
      <c r="R114" s="1888">
        <v>0</v>
      </c>
      <c r="S114" s="1888">
        <v>0</v>
      </c>
      <c r="T114" s="1874">
        <f t="shared" si="40"/>
        <v>0</v>
      </c>
      <c r="U114" s="1874">
        <f t="shared" si="40"/>
        <v>0</v>
      </c>
      <c r="V114" s="1795"/>
      <c r="W114" s="1795"/>
      <c r="X114" s="1800"/>
      <c r="Y114" s="2926"/>
    </row>
    <row r="115" spans="1:25">
      <c r="A115" s="555"/>
      <c r="B115" s="214">
        <v>5205</v>
      </c>
      <c r="C115" s="214" t="s">
        <v>115</v>
      </c>
      <c r="D115" s="215" t="s">
        <v>3045</v>
      </c>
      <c r="E115" s="549"/>
      <c r="F115" s="556"/>
      <c r="G115" s="583"/>
      <c r="H115" s="556"/>
      <c r="I115" s="1800"/>
      <c r="J115" s="1800"/>
      <c r="K115" s="557"/>
      <c r="L115" s="589"/>
      <c r="M115" s="567"/>
      <c r="N115" s="562"/>
      <c r="O115" s="562"/>
      <c r="P115" s="557"/>
      <c r="Q115" s="557"/>
      <c r="R115" s="557"/>
      <c r="S115" s="557"/>
      <c r="T115" s="562"/>
      <c r="U115" s="562"/>
      <c r="V115" s="1795"/>
      <c r="W115" s="1795"/>
      <c r="X115" s="1800"/>
      <c r="Y115" s="555"/>
    </row>
    <row r="116" spans="1:25">
      <c r="A116" s="555"/>
      <c r="B116" s="214">
        <v>5205001</v>
      </c>
      <c r="C116" s="214" t="s">
        <v>116</v>
      </c>
      <c r="D116" s="215" t="s">
        <v>185</v>
      </c>
      <c r="E116" s="549"/>
      <c r="F116" s="556"/>
      <c r="G116" s="583"/>
      <c r="H116" s="556"/>
      <c r="I116" s="1800"/>
      <c r="J116" s="1800"/>
      <c r="K116" s="557"/>
      <c r="L116" s="589"/>
      <c r="M116" s="567"/>
      <c r="N116" s="562"/>
      <c r="O116" s="562"/>
      <c r="P116" s="557"/>
      <c r="Q116" s="557"/>
      <c r="R116" s="557"/>
      <c r="S116" s="557"/>
      <c r="T116" s="562"/>
      <c r="U116" s="562"/>
      <c r="V116" s="1795"/>
      <c r="W116" s="1795"/>
      <c r="X116" s="1800"/>
      <c r="Y116" s="555"/>
    </row>
    <row r="117" spans="1:25" ht="27.6">
      <c r="A117" s="555"/>
      <c r="B117" s="222">
        <v>52050010001</v>
      </c>
      <c r="C117" s="222" t="s">
        <v>117</v>
      </c>
      <c r="D117" s="217" t="s">
        <v>3046</v>
      </c>
      <c r="E117" s="549"/>
      <c r="F117" s="556"/>
      <c r="G117" s="583"/>
      <c r="H117" s="556"/>
      <c r="I117" s="1800"/>
      <c r="J117" s="1800"/>
      <c r="K117" s="557">
        <f>K118</f>
        <v>2</v>
      </c>
      <c r="L117" s="589"/>
      <c r="M117" s="567"/>
      <c r="N117" s="562"/>
      <c r="O117" s="562"/>
      <c r="P117" s="557"/>
      <c r="Q117" s="557"/>
      <c r="R117" s="557"/>
      <c r="S117" s="557"/>
      <c r="T117" s="562"/>
      <c r="U117" s="562"/>
      <c r="V117" s="1795"/>
      <c r="W117" s="1795"/>
      <c r="X117" s="1800"/>
      <c r="Y117" s="555"/>
    </row>
    <row r="118" spans="1:25">
      <c r="A118" s="2928">
        <v>4148</v>
      </c>
      <c r="B118" s="2928"/>
      <c r="C118" s="2928" t="s">
        <v>123</v>
      </c>
      <c r="D118" s="3033" t="s">
        <v>3047</v>
      </c>
      <c r="E118" s="1746" t="s">
        <v>3048</v>
      </c>
      <c r="F118" s="556"/>
      <c r="G118" s="583"/>
      <c r="H118" s="556"/>
      <c r="I118" s="1800"/>
      <c r="J118" s="1800"/>
      <c r="K118" s="557">
        <f>K119</f>
        <v>2</v>
      </c>
      <c r="L118" s="589">
        <f>SUM(L119:L120)</f>
        <v>1</v>
      </c>
      <c r="M118" s="567"/>
      <c r="N118" s="562">
        <f>SUM(N119:N120)</f>
        <v>3.5999999999999997E-2</v>
      </c>
      <c r="O118" s="3169">
        <f>IF(Q118&gt;0,N118,"na")</f>
        <v>3.5999999999999997E-2</v>
      </c>
      <c r="P118" s="557">
        <f>SUM(P119:P120)</f>
        <v>460047694</v>
      </c>
      <c r="Q118" s="557">
        <f t="shared" ref="Q118:S118" si="41">SUM(Q119:Q120)</f>
        <v>460047694</v>
      </c>
      <c r="R118" s="557">
        <f t="shared" si="41"/>
        <v>49171000</v>
      </c>
      <c r="S118" s="557">
        <f t="shared" si="41"/>
        <v>24920000</v>
      </c>
      <c r="T118" s="1874">
        <f t="shared" ref="T118:U120" si="42">IF(Q118=0,0,R118/Q118)</f>
        <v>0.1068823964151856</v>
      </c>
      <c r="U118" s="1874">
        <f t="shared" si="42"/>
        <v>0.50680279026255315</v>
      </c>
      <c r="V118" s="1795"/>
      <c r="W118" s="1795"/>
      <c r="X118" s="1847"/>
      <c r="Y118" s="2926" t="s">
        <v>2863</v>
      </c>
    </row>
    <row r="119" spans="1:25" ht="79.2">
      <c r="A119" s="2928"/>
      <c r="B119" s="2928"/>
      <c r="C119" s="2928"/>
      <c r="D119" s="3033"/>
      <c r="E119" s="549" t="s">
        <v>3049</v>
      </c>
      <c r="F119" s="556"/>
      <c r="G119" s="583" t="s">
        <v>3046</v>
      </c>
      <c r="H119" s="556"/>
      <c r="I119" s="583" t="s">
        <v>3050</v>
      </c>
      <c r="J119" s="583" t="s">
        <v>3051</v>
      </c>
      <c r="K119" s="557">
        <v>2</v>
      </c>
      <c r="L119" s="589">
        <v>0.61</v>
      </c>
      <c r="M119" s="567">
        <v>0</v>
      </c>
      <c r="N119" s="562">
        <v>0</v>
      </c>
      <c r="O119" s="3169"/>
      <c r="P119" s="1888">
        <v>280745694</v>
      </c>
      <c r="Q119" s="1888">
        <v>280745694</v>
      </c>
      <c r="R119" s="1888">
        <v>0</v>
      </c>
      <c r="S119" s="1888">
        <v>0</v>
      </c>
      <c r="T119" s="1874">
        <f t="shared" si="42"/>
        <v>0</v>
      </c>
      <c r="U119" s="1874">
        <f t="shared" si="42"/>
        <v>0</v>
      </c>
      <c r="V119" s="1795"/>
      <c r="W119" s="1795"/>
      <c r="X119" s="1800"/>
      <c r="Y119" s="2926"/>
    </row>
    <row r="120" spans="1:25" ht="118.8">
      <c r="A120" s="2928"/>
      <c r="B120" s="2928"/>
      <c r="C120" s="2928"/>
      <c r="D120" s="3033"/>
      <c r="E120" s="549" t="s">
        <v>3052</v>
      </c>
      <c r="F120" s="556"/>
      <c r="G120" s="583"/>
      <c r="H120" s="556"/>
      <c r="I120" s="583" t="s">
        <v>3053</v>
      </c>
      <c r="J120" s="1800" t="s">
        <v>3054</v>
      </c>
      <c r="K120" s="557">
        <v>3</v>
      </c>
      <c r="L120" s="589">
        <v>0.39</v>
      </c>
      <c r="M120" s="567">
        <v>0</v>
      </c>
      <c r="N120" s="562">
        <v>3.5999999999999997E-2</v>
      </c>
      <c r="O120" s="3169"/>
      <c r="P120" s="1888">
        <v>179302000</v>
      </c>
      <c r="Q120" s="1888">
        <v>179302000</v>
      </c>
      <c r="R120" s="1888">
        <v>49171000</v>
      </c>
      <c r="S120" s="1888">
        <v>24920000</v>
      </c>
      <c r="T120" s="1874">
        <f t="shared" si="42"/>
        <v>0.27423564712050058</v>
      </c>
      <c r="U120" s="1874">
        <f t="shared" si="42"/>
        <v>0.50680279026255315</v>
      </c>
      <c r="V120" s="1795">
        <v>44227</v>
      </c>
      <c r="W120" s="1795">
        <v>45412</v>
      </c>
      <c r="X120" s="1800" t="s">
        <v>3055</v>
      </c>
      <c r="Y120" s="2926"/>
    </row>
    <row r="121" spans="1:25">
      <c r="A121" s="555"/>
      <c r="B121" s="222">
        <v>52050010002</v>
      </c>
      <c r="C121" s="222" t="s">
        <v>117</v>
      </c>
      <c r="D121" s="217" t="s">
        <v>3056</v>
      </c>
      <c r="E121" s="549"/>
      <c r="F121" s="556"/>
      <c r="G121" s="583"/>
      <c r="H121" s="556"/>
      <c r="I121" s="1800"/>
      <c r="J121" s="1800"/>
      <c r="K121" s="557">
        <f>K122+K125+K128+K130</f>
        <v>6</v>
      </c>
      <c r="L121" s="589"/>
      <c r="M121" s="567"/>
      <c r="N121" s="562"/>
      <c r="O121" s="562"/>
      <c r="P121" s="557"/>
      <c r="Q121" s="557"/>
      <c r="R121" s="557"/>
      <c r="S121" s="557"/>
      <c r="T121" s="562"/>
      <c r="U121" s="562"/>
      <c r="V121" s="1795"/>
      <c r="W121" s="1795"/>
      <c r="X121" s="1800"/>
      <c r="Y121" s="555"/>
    </row>
    <row r="122" spans="1:25">
      <c r="A122" s="2928">
        <v>4148</v>
      </c>
      <c r="B122" s="2928"/>
      <c r="C122" s="2928" t="s">
        <v>123</v>
      </c>
      <c r="D122" s="3033" t="s">
        <v>3057</v>
      </c>
      <c r="E122" s="1746" t="s">
        <v>3058</v>
      </c>
      <c r="F122" s="556"/>
      <c r="G122" s="583"/>
      <c r="H122" s="556"/>
      <c r="I122" s="1800"/>
      <c r="J122" s="1800"/>
      <c r="K122" s="557">
        <f>K123</f>
        <v>1</v>
      </c>
      <c r="L122" s="589">
        <f>SUM(L123:L124)</f>
        <v>1</v>
      </c>
      <c r="M122" s="567"/>
      <c r="N122" s="562">
        <f>SUM(N123:N124)</f>
        <v>1.29E-2</v>
      </c>
      <c r="O122" s="3169">
        <f>IF(Q122&gt;0,N122,"na")</f>
        <v>1.29E-2</v>
      </c>
      <c r="P122" s="557">
        <f>SUM(P123:P124)</f>
        <v>2000000000</v>
      </c>
      <c r="Q122" s="557">
        <f t="shared" ref="Q122:S122" si="43">SUM(Q123:Q124)</f>
        <v>2000000000</v>
      </c>
      <c r="R122" s="557">
        <f t="shared" si="43"/>
        <v>108820500</v>
      </c>
      <c r="S122" s="557">
        <f t="shared" si="43"/>
        <v>73778000</v>
      </c>
      <c r="T122" s="1874">
        <f t="shared" ref="T122:U131" si="44">IF(Q122=0,0,R122/Q122)</f>
        <v>5.441025E-2</v>
      </c>
      <c r="U122" s="1874">
        <f t="shared" si="44"/>
        <v>0.67797887346593699</v>
      </c>
      <c r="V122" s="1795"/>
      <c r="W122" s="1795"/>
      <c r="X122" s="1847"/>
      <c r="Y122" s="2926" t="s">
        <v>2863</v>
      </c>
    </row>
    <row r="123" spans="1:25" ht="52.8">
      <c r="A123" s="2928"/>
      <c r="B123" s="2928"/>
      <c r="C123" s="2928"/>
      <c r="D123" s="3033"/>
      <c r="E123" s="549" t="s">
        <v>3059</v>
      </c>
      <c r="F123" s="556"/>
      <c r="G123" s="583" t="s">
        <v>3056</v>
      </c>
      <c r="H123" s="556"/>
      <c r="I123" s="583" t="s">
        <v>3060</v>
      </c>
      <c r="J123" s="583" t="s">
        <v>3008</v>
      </c>
      <c r="K123" s="557">
        <v>1</v>
      </c>
      <c r="L123" s="589">
        <v>0.9</v>
      </c>
      <c r="M123" s="567">
        <v>0</v>
      </c>
      <c r="N123" s="562">
        <v>0</v>
      </c>
      <c r="O123" s="3169"/>
      <c r="P123" s="1888">
        <v>1506610000</v>
      </c>
      <c r="Q123" s="1888">
        <v>1506610000</v>
      </c>
      <c r="R123" s="1888">
        <v>0</v>
      </c>
      <c r="S123" s="1888">
        <v>0</v>
      </c>
      <c r="T123" s="1874">
        <f t="shared" si="44"/>
        <v>0</v>
      </c>
      <c r="U123" s="1874">
        <f t="shared" si="44"/>
        <v>0</v>
      </c>
      <c r="V123" s="1795"/>
      <c r="W123" s="1795"/>
      <c r="X123" s="1861"/>
      <c r="Y123" s="2926"/>
    </row>
    <row r="124" spans="1:25" ht="211.2">
      <c r="A124" s="2928"/>
      <c r="B124" s="2928"/>
      <c r="C124" s="2928"/>
      <c r="D124" s="3033"/>
      <c r="E124" s="549" t="s">
        <v>3061</v>
      </c>
      <c r="F124" s="556"/>
      <c r="G124" s="583"/>
      <c r="H124" s="556"/>
      <c r="I124" s="1800" t="s">
        <v>3062</v>
      </c>
      <c r="J124" s="213" t="s">
        <v>3063</v>
      </c>
      <c r="K124" s="557">
        <v>1</v>
      </c>
      <c r="L124" s="589">
        <v>0.1</v>
      </c>
      <c r="M124" s="567">
        <v>0</v>
      </c>
      <c r="N124" s="562">
        <v>1.29E-2</v>
      </c>
      <c r="O124" s="3169"/>
      <c r="P124" s="1888">
        <v>493390000</v>
      </c>
      <c r="Q124" s="1888">
        <v>493390000</v>
      </c>
      <c r="R124" s="1888">
        <v>108820500</v>
      </c>
      <c r="S124" s="1888">
        <v>73778000</v>
      </c>
      <c r="T124" s="1874">
        <f t="shared" si="44"/>
        <v>0.22055676037211941</v>
      </c>
      <c r="U124" s="1874">
        <f t="shared" si="44"/>
        <v>0.67797887346593699</v>
      </c>
      <c r="V124" s="1795">
        <v>45322</v>
      </c>
      <c r="W124" s="1795">
        <v>45412</v>
      </c>
      <c r="X124" s="1861" t="s">
        <v>3064</v>
      </c>
      <c r="Y124" s="2926"/>
    </row>
    <row r="125" spans="1:25">
      <c r="A125" s="2928">
        <v>4148</v>
      </c>
      <c r="B125" s="2928"/>
      <c r="C125" s="2928" t="s">
        <v>123</v>
      </c>
      <c r="D125" s="3033" t="s">
        <v>3065</v>
      </c>
      <c r="E125" s="1746" t="s">
        <v>3066</v>
      </c>
      <c r="F125" s="556"/>
      <c r="G125" s="583"/>
      <c r="H125" s="556"/>
      <c r="I125" s="1800"/>
      <c r="J125" s="1800"/>
      <c r="K125" s="557">
        <f>K126</f>
        <v>2</v>
      </c>
      <c r="L125" s="589">
        <f>SUM(L126:L127)</f>
        <v>1</v>
      </c>
      <c r="M125" s="567"/>
      <c r="N125" s="562">
        <f>SUM(N126:N127)</f>
        <v>0.03</v>
      </c>
      <c r="O125" s="3169">
        <f>IF(Q125&gt;0,N125,"na")</f>
        <v>0.03</v>
      </c>
      <c r="P125" s="1888">
        <f>SUM(P126:P127)</f>
        <v>412185091</v>
      </c>
      <c r="Q125" s="1888">
        <f t="shared" ref="Q125:S125" si="45">SUM(Q126:Q127)</f>
        <v>412185091</v>
      </c>
      <c r="R125" s="1888">
        <f t="shared" si="45"/>
        <v>28979000</v>
      </c>
      <c r="S125" s="1888">
        <f t="shared" si="45"/>
        <v>14458000</v>
      </c>
      <c r="T125" s="1874">
        <f t="shared" si="44"/>
        <v>7.0305793762928698E-2</v>
      </c>
      <c r="U125" s="1874">
        <f t="shared" si="44"/>
        <v>0.49891300596984023</v>
      </c>
      <c r="V125" s="1795"/>
      <c r="W125" s="1795"/>
      <c r="X125" s="1847"/>
      <c r="Y125" s="2926" t="s">
        <v>2863</v>
      </c>
    </row>
    <row r="126" spans="1:25" ht="118.8">
      <c r="A126" s="2928"/>
      <c r="B126" s="2928"/>
      <c r="C126" s="2928"/>
      <c r="D126" s="3033"/>
      <c r="E126" s="549" t="s">
        <v>3067</v>
      </c>
      <c r="F126" s="814"/>
      <c r="G126" s="212" t="s">
        <v>3056</v>
      </c>
      <c r="H126" s="556"/>
      <c r="I126" s="583" t="s">
        <v>3068</v>
      </c>
      <c r="J126" s="583" t="s">
        <v>3069</v>
      </c>
      <c r="K126" s="557">
        <v>2</v>
      </c>
      <c r="L126" s="589">
        <v>0.48</v>
      </c>
      <c r="M126" s="567">
        <v>0</v>
      </c>
      <c r="N126" s="562">
        <v>0.03</v>
      </c>
      <c r="O126" s="3169"/>
      <c r="P126" s="1888">
        <v>262328652</v>
      </c>
      <c r="Q126" s="1888">
        <v>262328652</v>
      </c>
      <c r="R126" s="1888">
        <v>28979000</v>
      </c>
      <c r="S126" s="1888">
        <v>14458000</v>
      </c>
      <c r="T126" s="1874">
        <f t="shared" si="44"/>
        <v>0.11046829913188438</v>
      </c>
      <c r="U126" s="1874">
        <f t="shared" si="44"/>
        <v>0.49891300596984023</v>
      </c>
      <c r="V126" s="1795">
        <v>45344</v>
      </c>
      <c r="W126" s="1795">
        <v>45412</v>
      </c>
      <c r="X126" s="1800" t="s">
        <v>3070</v>
      </c>
      <c r="Y126" s="2926"/>
    </row>
    <row r="127" spans="1:25" ht="52.8">
      <c r="A127" s="2928"/>
      <c r="B127" s="2928"/>
      <c r="C127" s="2928"/>
      <c r="D127" s="3033"/>
      <c r="E127" s="549" t="s">
        <v>3071</v>
      </c>
      <c r="F127" s="556"/>
      <c r="G127" s="212"/>
      <c r="H127" s="557"/>
      <c r="I127" s="583" t="s">
        <v>3072</v>
      </c>
      <c r="J127" s="1800" t="s">
        <v>2933</v>
      </c>
      <c r="K127" s="557">
        <v>4</v>
      </c>
      <c r="L127" s="589">
        <v>0.52</v>
      </c>
      <c r="M127" s="567">
        <v>0</v>
      </c>
      <c r="N127" s="562">
        <v>0</v>
      </c>
      <c r="O127" s="3169"/>
      <c r="P127" s="1888">
        <v>149856439</v>
      </c>
      <c r="Q127" s="1888">
        <v>149856439</v>
      </c>
      <c r="R127" s="1888">
        <v>0</v>
      </c>
      <c r="S127" s="1888">
        <v>0</v>
      </c>
      <c r="T127" s="1874">
        <f t="shared" si="44"/>
        <v>0</v>
      </c>
      <c r="U127" s="1874">
        <f t="shared" si="44"/>
        <v>0</v>
      </c>
      <c r="V127" s="1795"/>
      <c r="W127" s="1795"/>
      <c r="X127" s="1800"/>
      <c r="Y127" s="2926"/>
    </row>
    <row r="128" spans="1:25">
      <c r="A128" s="2928">
        <v>4148</v>
      </c>
      <c r="B128" s="2928"/>
      <c r="C128" s="2928" t="s">
        <v>123</v>
      </c>
      <c r="D128" s="3033" t="s">
        <v>3073</v>
      </c>
      <c r="E128" s="1746" t="s">
        <v>3074</v>
      </c>
      <c r="F128" s="556"/>
      <c r="G128" s="583"/>
      <c r="H128" s="556"/>
      <c r="I128" s="583"/>
      <c r="J128" s="1800"/>
      <c r="K128" s="557">
        <v>2</v>
      </c>
      <c r="L128" s="589">
        <f>L129</f>
        <v>1</v>
      </c>
      <c r="M128" s="567"/>
      <c r="N128" s="562">
        <f>N129</f>
        <v>0</v>
      </c>
      <c r="O128" s="3169">
        <f>IF(Q128&gt;0,N128,"na")</f>
        <v>0</v>
      </c>
      <c r="P128" s="1888">
        <f>P129</f>
        <v>200000000</v>
      </c>
      <c r="Q128" s="1888">
        <f t="shared" ref="Q128:S128" si="46">Q129</f>
        <v>200000000</v>
      </c>
      <c r="R128" s="1888">
        <f t="shared" si="46"/>
        <v>0</v>
      </c>
      <c r="S128" s="1888">
        <f t="shared" si="46"/>
        <v>0</v>
      </c>
      <c r="T128" s="1874">
        <f t="shared" si="44"/>
        <v>0</v>
      </c>
      <c r="U128" s="1874">
        <f t="shared" si="44"/>
        <v>0</v>
      </c>
      <c r="V128" s="1795">
        <v>45306</v>
      </c>
      <c r="W128" s="1795">
        <v>45641</v>
      </c>
      <c r="X128" s="1847"/>
      <c r="Y128" s="2926" t="s">
        <v>2863</v>
      </c>
    </row>
    <row r="129" spans="1:25" ht="66">
      <c r="A129" s="2928"/>
      <c r="B129" s="2928"/>
      <c r="C129" s="2928"/>
      <c r="D129" s="3033"/>
      <c r="E129" s="1746" t="s">
        <v>3075</v>
      </c>
      <c r="F129" s="814"/>
      <c r="G129" s="583" t="s">
        <v>3056</v>
      </c>
      <c r="H129" s="556"/>
      <c r="I129" s="583" t="s">
        <v>3076</v>
      </c>
      <c r="J129" s="1800" t="s">
        <v>3077</v>
      </c>
      <c r="K129" s="557">
        <v>2</v>
      </c>
      <c r="L129" s="589">
        <v>1</v>
      </c>
      <c r="M129" s="567">
        <v>0</v>
      </c>
      <c r="N129" s="562">
        <v>0</v>
      </c>
      <c r="O129" s="3169"/>
      <c r="P129" s="1888">
        <v>200000000</v>
      </c>
      <c r="Q129" s="1888">
        <v>200000000</v>
      </c>
      <c r="R129" s="1888">
        <v>0</v>
      </c>
      <c r="S129" s="1888">
        <v>0</v>
      </c>
      <c r="T129" s="1874">
        <f t="shared" si="44"/>
        <v>0</v>
      </c>
      <c r="U129" s="1874">
        <f t="shared" si="44"/>
        <v>0</v>
      </c>
      <c r="V129" s="1795"/>
      <c r="W129" s="1795"/>
      <c r="X129" s="1847"/>
      <c r="Y129" s="2926"/>
    </row>
    <row r="130" spans="1:25">
      <c r="A130" s="2928">
        <v>4148</v>
      </c>
      <c r="B130" s="2928"/>
      <c r="C130" s="2928" t="s">
        <v>123</v>
      </c>
      <c r="D130" s="3033" t="s">
        <v>3078</v>
      </c>
      <c r="E130" s="1746" t="s">
        <v>3079</v>
      </c>
      <c r="F130" s="556"/>
      <c r="G130" s="583"/>
      <c r="H130" s="556"/>
      <c r="I130" s="583"/>
      <c r="J130" s="1800"/>
      <c r="K130" s="557">
        <f>K131</f>
        <v>1</v>
      </c>
      <c r="L130" s="589">
        <f>L131</f>
        <v>1</v>
      </c>
      <c r="M130" s="567"/>
      <c r="N130" s="562">
        <f>N131</f>
        <v>0</v>
      </c>
      <c r="O130" s="3169">
        <f>IF(Q130&gt;0,N130,"na")</f>
        <v>0</v>
      </c>
      <c r="P130" s="1888">
        <f>P131</f>
        <v>150000000</v>
      </c>
      <c r="Q130" s="1888">
        <f t="shared" ref="Q130:S130" si="47">Q131</f>
        <v>150000000</v>
      </c>
      <c r="R130" s="1888">
        <f t="shared" si="47"/>
        <v>0</v>
      </c>
      <c r="S130" s="1888">
        <f t="shared" si="47"/>
        <v>0</v>
      </c>
      <c r="T130" s="1874">
        <f t="shared" si="44"/>
        <v>0</v>
      </c>
      <c r="U130" s="1874">
        <f t="shared" si="44"/>
        <v>0</v>
      </c>
      <c r="V130" s="1795">
        <v>45306</v>
      </c>
      <c r="W130" s="1795">
        <v>45641</v>
      </c>
      <c r="X130" s="1847"/>
      <c r="Y130" s="226"/>
    </row>
    <row r="131" spans="1:25" ht="52.8">
      <c r="A131" s="2928"/>
      <c r="B131" s="2928"/>
      <c r="C131" s="2928"/>
      <c r="D131" s="3033"/>
      <c r="E131" s="1746" t="s">
        <v>3080</v>
      </c>
      <c r="F131" s="556"/>
      <c r="G131" s="583" t="s">
        <v>3056</v>
      </c>
      <c r="H131" s="556"/>
      <c r="I131" s="583" t="s">
        <v>3081</v>
      </c>
      <c r="J131" s="1800" t="s">
        <v>3008</v>
      </c>
      <c r="K131" s="557">
        <v>1</v>
      </c>
      <c r="L131" s="589">
        <v>1</v>
      </c>
      <c r="M131" s="567">
        <v>0</v>
      </c>
      <c r="N131" s="562">
        <v>0</v>
      </c>
      <c r="O131" s="3169"/>
      <c r="P131" s="1889">
        <v>150000000</v>
      </c>
      <c r="Q131" s="1889">
        <v>150000000</v>
      </c>
      <c r="R131" s="1889">
        <v>0</v>
      </c>
      <c r="S131" s="1889">
        <v>0</v>
      </c>
      <c r="T131" s="1874">
        <f t="shared" si="44"/>
        <v>0</v>
      </c>
      <c r="U131" s="1874">
        <f t="shared" si="44"/>
        <v>0</v>
      </c>
      <c r="V131" s="1795"/>
      <c r="W131" s="1795"/>
      <c r="X131" s="1847"/>
      <c r="Y131" s="226" t="s">
        <v>2863</v>
      </c>
    </row>
    <row r="132" spans="1:25" ht="27.6">
      <c r="A132" s="555"/>
      <c r="B132" s="222">
        <v>52050010003</v>
      </c>
      <c r="C132" s="222" t="s">
        <v>117</v>
      </c>
      <c r="D132" s="217" t="s">
        <v>3082</v>
      </c>
      <c r="E132" s="549"/>
      <c r="F132" s="556"/>
      <c r="G132" s="583"/>
      <c r="H132" s="556"/>
      <c r="I132" s="1800"/>
      <c r="J132" s="1800"/>
      <c r="K132" s="557">
        <f>K133+K136+K138</f>
        <v>3</v>
      </c>
      <c r="L132" s="589"/>
      <c r="M132" s="567"/>
      <c r="N132" s="562"/>
      <c r="O132" s="562"/>
      <c r="P132" s="557"/>
      <c r="Q132" s="557"/>
      <c r="R132" s="557"/>
      <c r="S132" s="557"/>
      <c r="T132" s="562"/>
      <c r="U132" s="562"/>
      <c r="V132" s="1795"/>
      <c r="W132" s="1795"/>
      <c r="X132" s="1800"/>
      <c r="Y132" s="555"/>
    </row>
    <row r="133" spans="1:25">
      <c r="A133" s="2928">
        <v>4148</v>
      </c>
      <c r="B133" s="2928"/>
      <c r="C133" s="2928" t="s">
        <v>123</v>
      </c>
      <c r="D133" s="3033" t="s">
        <v>3083</v>
      </c>
      <c r="E133" s="1746" t="s">
        <v>3084</v>
      </c>
      <c r="F133" s="556"/>
      <c r="G133" s="583"/>
      <c r="H133" s="556"/>
      <c r="I133" s="1800"/>
      <c r="J133" s="1800"/>
      <c r="K133" s="557">
        <f>K135</f>
        <v>1</v>
      </c>
      <c r="L133" s="589">
        <f>SUM(L134:L135)</f>
        <v>1</v>
      </c>
      <c r="M133" s="567"/>
      <c r="N133" s="562">
        <f>SUM(N134:N135)</f>
        <v>5.6000000000000001E-2</v>
      </c>
      <c r="O133" s="3169">
        <f>IF(Q133&gt;0,N133,"na")</f>
        <v>5.6000000000000001E-2</v>
      </c>
      <c r="P133" s="557">
        <f>SUM(P134:P135)</f>
        <v>89782950</v>
      </c>
      <c r="Q133" s="557">
        <f t="shared" ref="Q133:S133" si="48">SUM(Q134:Q135)</f>
        <v>89782950</v>
      </c>
      <c r="R133" s="557">
        <f t="shared" si="48"/>
        <v>10462000</v>
      </c>
      <c r="S133" s="557">
        <f t="shared" si="48"/>
        <v>5231000</v>
      </c>
      <c r="T133" s="1874">
        <f t="shared" ref="T133:U139" si="49">IF(Q133=0,0,R133/Q133)</f>
        <v>0.11652546502426128</v>
      </c>
      <c r="U133" s="1874">
        <f t="shared" si="49"/>
        <v>0.5</v>
      </c>
      <c r="V133" s="1795"/>
      <c r="W133" s="1795"/>
      <c r="X133" s="1847"/>
      <c r="Y133" s="2926" t="s">
        <v>2863</v>
      </c>
    </row>
    <row r="134" spans="1:25" ht="79.2">
      <c r="A134" s="2928"/>
      <c r="B134" s="2928"/>
      <c r="C134" s="2928"/>
      <c r="D134" s="3033"/>
      <c r="E134" s="549" t="s">
        <v>3085</v>
      </c>
      <c r="F134" s="556"/>
      <c r="G134" s="583" t="s">
        <v>3082</v>
      </c>
      <c r="H134" s="556"/>
      <c r="I134" s="583" t="s">
        <v>3086</v>
      </c>
      <c r="J134" s="583" t="s">
        <v>3087</v>
      </c>
      <c r="K134" s="557">
        <v>1</v>
      </c>
      <c r="L134" s="589">
        <v>0.94</v>
      </c>
      <c r="M134" s="567">
        <v>0</v>
      </c>
      <c r="N134" s="562">
        <v>5.6000000000000001E-2</v>
      </c>
      <c r="O134" s="3169"/>
      <c r="P134" s="1888">
        <v>83982000</v>
      </c>
      <c r="Q134" s="1888">
        <v>83982000</v>
      </c>
      <c r="R134" s="1888">
        <v>10462000</v>
      </c>
      <c r="S134" s="1888">
        <v>5231000</v>
      </c>
      <c r="T134" s="1874">
        <f t="shared" si="49"/>
        <v>0.12457431354337835</v>
      </c>
      <c r="U134" s="1874">
        <f t="shared" si="49"/>
        <v>0.5</v>
      </c>
      <c r="V134" s="1795">
        <v>45356</v>
      </c>
      <c r="W134" s="1795">
        <v>45412</v>
      </c>
      <c r="X134" s="1800" t="s">
        <v>3088</v>
      </c>
      <c r="Y134" s="2926"/>
    </row>
    <row r="135" spans="1:25" ht="52.8">
      <c r="A135" s="2928"/>
      <c r="B135" s="2928"/>
      <c r="C135" s="2928"/>
      <c r="D135" s="3033"/>
      <c r="E135" s="549" t="s">
        <v>3089</v>
      </c>
      <c r="F135" s="556"/>
      <c r="G135" s="583"/>
      <c r="H135" s="556"/>
      <c r="I135" s="583" t="s">
        <v>3090</v>
      </c>
      <c r="J135" s="583" t="s">
        <v>3091</v>
      </c>
      <c r="K135" s="557">
        <v>1</v>
      </c>
      <c r="L135" s="589">
        <v>0.06</v>
      </c>
      <c r="M135" s="567">
        <v>0</v>
      </c>
      <c r="N135" s="562">
        <v>0</v>
      </c>
      <c r="O135" s="3169"/>
      <c r="P135" s="1888">
        <v>5800950</v>
      </c>
      <c r="Q135" s="1888">
        <v>5800950</v>
      </c>
      <c r="R135" s="1888">
        <v>0</v>
      </c>
      <c r="S135" s="1888">
        <v>0</v>
      </c>
      <c r="T135" s="1874">
        <f t="shared" si="49"/>
        <v>0</v>
      </c>
      <c r="U135" s="1874">
        <f t="shared" si="49"/>
        <v>0</v>
      </c>
      <c r="V135" s="1795"/>
      <c r="W135" s="1795"/>
      <c r="X135" s="1800"/>
      <c r="Y135" s="2926"/>
    </row>
    <row r="136" spans="1:25">
      <c r="A136" s="2928">
        <v>4148</v>
      </c>
      <c r="B136" s="2928"/>
      <c r="C136" s="2928" t="s">
        <v>123</v>
      </c>
      <c r="D136" s="3033" t="s">
        <v>3092</v>
      </c>
      <c r="E136" s="1746" t="s">
        <v>3093</v>
      </c>
      <c r="F136" s="556"/>
      <c r="G136" s="583"/>
      <c r="H136" s="556"/>
      <c r="I136" s="1800"/>
      <c r="J136" s="1800"/>
      <c r="K136" s="557">
        <v>1</v>
      </c>
      <c r="L136" s="589">
        <f>SUM(L137:L137)</f>
        <v>1</v>
      </c>
      <c r="M136" s="567"/>
      <c r="N136" s="562">
        <f>SUM(N137:N137)</f>
        <v>0</v>
      </c>
      <c r="O136" s="3169">
        <f>IF(Q136&gt;0,N136,"na")</f>
        <v>0</v>
      </c>
      <c r="P136" s="557">
        <f>SUM(P137:P137)</f>
        <v>195141349</v>
      </c>
      <c r="Q136" s="557">
        <f t="shared" ref="Q136:S136" si="50">SUM(Q137:Q137)</f>
        <v>195141349</v>
      </c>
      <c r="R136" s="557">
        <f t="shared" si="50"/>
        <v>0</v>
      </c>
      <c r="S136" s="557">
        <f t="shared" si="50"/>
        <v>0</v>
      </c>
      <c r="T136" s="1874">
        <f t="shared" si="49"/>
        <v>0</v>
      </c>
      <c r="U136" s="1874">
        <f t="shared" si="49"/>
        <v>0</v>
      </c>
      <c r="V136" s="1795">
        <v>45397</v>
      </c>
      <c r="W136" s="1795">
        <v>45641</v>
      </c>
      <c r="X136" s="1847"/>
      <c r="Y136" s="2926" t="s">
        <v>2863</v>
      </c>
    </row>
    <row r="137" spans="1:25" ht="79.2">
      <c r="A137" s="2928"/>
      <c r="B137" s="2928"/>
      <c r="C137" s="2928"/>
      <c r="D137" s="3033"/>
      <c r="E137" s="549" t="s">
        <v>3094</v>
      </c>
      <c r="F137" s="556"/>
      <c r="G137" s="583" t="s">
        <v>3082</v>
      </c>
      <c r="H137" s="556"/>
      <c r="I137" s="583" t="s">
        <v>3095</v>
      </c>
      <c r="J137" s="583" t="s">
        <v>3096</v>
      </c>
      <c r="K137" s="557">
        <v>2</v>
      </c>
      <c r="L137" s="589">
        <v>1</v>
      </c>
      <c r="M137" s="567">
        <v>0</v>
      </c>
      <c r="N137" s="562">
        <v>0</v>
      </c>
      <c r="O137" s="3169"/>
      <c r="P137" s="1888">
        <v>195141349</v>
      </c>
      <c r="Q137" s="1888">
        <v>195141349</v>
      </c>
      <c r="R137" s="1888">
        <v>0</v>
      </c>
      <c r="S137" s="1888">
        <v>0</v>
      </c>
      <c r="T137" s="1874">
        <f t="shared" si="49"/>
        <v>0</v>
      </c>
      <c r="U137" s="1874">
        <f t="shared" si="49"/>
        <v>0</v>
      </c>
      <c r="V137" s="1795"/>
      <c r="W137" s="1795"/>
      <c r="X137" s="1800"/>
      <c r="Y137" s="2926"/>
    </row>
    <row r="138" spans="1:25">
      <c r="A138" s="2928">
        <v>4148</v>
      </c>
      <c r="B138" s="2928"/>
      <c r="C138" s="2928" t="s">
        <v>123</v>
      </c>
      <c r="D138" s="3033" t="s">
        <v>3097</v>
      </c>
      <c r="E138" s="1746" t="s">
        <v>3098</v>
      </c>
      <c r="F138" s="556"/>
      <c r="G138" s="583"/>
      <c r="H138" s="556"/>
      <c r="I138" s="1800"/>
      <c r="J138" s="1800"/>
      <c r="K138" s="557">
        <f>K139</f>
        <v>1</v>
      </c>
      <c r="L138" s="589">
        <f>SUM(L139:L139)</f>
        <v>1</v>
      </c>
      <c r="M138" s="567"/>
      <c r="N138" s="562">
        <f>SUM(N139:N139)</f>
        <v>0</v>
      </c>
      <c r="O138" s="3169">
        <f>IF(Q138&gt;0,N138,"na")</f>
        <v>0</v>
      </c>
      <c r="P138" s="557">
        <f>SUM(P139:P139)</f>
        <v>151000000</v>
      </c>
      <c r="Q138" s="557">
        <f t="shared" ref="Q138:S138" si="51">SUM(Q139:Q139)</f>
        <v>151000000</v>
      </c>
      <c r="R138" s="557">
        <f t="shared" si="51"/>
        <v>0</v>
      </c>
      <c r="S138" s="557">
        <f t="shared" si="51"/>
        <v>0</v>
      </c>
      <c r="T138" s="1874">
        <f t="shared" si="49"/>
        <v>0</v>
      </c>
      <c r="U138" s="1874">
        <f t="shared" si="49"/>
        <v>0</v>
      </c>
      <c r="V138" s="1795">
        <v>45397</v>
      </c>
      <c r="W138" s="1795">
        <v>45641</v>
      </c>
      <c r="X138" s="1847"/>
      <c r="Y138" s="2926" t="s">
        <v>2863</v>
      </c>
    </row>
    <row r="139" spans="1:25" ht="79.2">
      <c r="A139" s="2928"/>
      <c r="B139" s="2928"/>
      <c r="C139" s="2928"/>
      <c r="D139" s="3033"/>
      <c r="E139" s="549" t="s">
        <v>3099</v>
      </c>
      <c r="F139" s="556"/>
      <c r="G139" s="583" t="s">
        <v>3082</v>
      </c>
      <c r="H139" s="556"/>
      <c r="I139" s="583" t="s">
        <v>3100</v>
      </c>
      <c r="J139" s="583" t="s">
        <v>3096</v>
      </c>
      <c r="K139" s="557">
        <v>1</v>
      </c>
      <c r="L139" s="589">
        <v>1</v>
      </c>
      <c r="M139" s="567">
        <v>0</v>
      </c>
      <c r="N139" s="562">
        <v>0</v>
      </c>
      <c r="O139" s="3169"/>
      <c r="P139" s="1888">
        <v>151000000</v>
      </c>
      <c r="Q139" s="1888">
        <v>151000000</v>
      </c>
      <c r="R139" s="1888">
        <v>0</v>
      </c>
      <c r="S139" s="1888">
        <v>0</v>
      </c>
      <c r="T139" s="1874">
        <f t="shared" si="49"/>
        <v>0</v>
      </c>
      <c r="U139" s="1874">
        <f t="shared" si="49"/>
        <v>0</v>
      </c>
      <c r="V139" s="1795"/>
      <c r="W139" s="1795"/>
      <c r="X139" s="1800"/>
      <c r="Y139" s="2926"/>
    </row>
    <row r="140" spans="1:25">
      <c r="A140" s="555"/>
      <c r="B140" s="222">
        <v>52050010004</v>
      </c>
      <c r="C140" s="222" t="s">
        <v>117</v>
      </c>
      <c r="D140" s="217" t="s">
        <v>3101</v>
      </c>
      <c r="E140" s="549"/>
      <c r="F140" s="556"/>
      <c r="G140" s="583"/>
      <c r="H140" s="556"/>
      <c r="I140" s="1800"/>
      <c r="J140" s="1800"/>
      <c r="K140" s="557">
        <f>K141</f>
        <v>1</v>
      </c>
      <c r="L140" s="589"/>
      <c r="M140" s="567"/>
      <c r="N140" s="562"/>
      <c r="O140" s="562"/>
      <c r="P140" s="557"/>
      <c r="Q140" s="557"/>
      <c r="R140" s="557"/>
      <c r="S140" s="557"/>
      <c r="T140" s="562"/>
      <c r="U140" s="562"/>
      <c r="V140" s="1795"/>
      <c r="W140" s="1795"/>
      <c r="X140" s="1800"/>
      <c r="Y140" s="555"/>
    </row>
    <row r="141" spans="1:25">
      <c r="A141" s="2928">
        <v>4148</v>
      </c>
      <c r="B141" s="3173"/>
      <c r="C141" s="2928" t="s">
        <v>123</v>
      </c>
      <c r="D141" s="3033" t="s">
        <v>3102</v>
      </c>
      <c r="E141" s="1746" t="s">
        <v>3103</v>
      </c>
      <c r="F141" s="556"/>
      <c r="G141" s="583"/>
      <c r="H141" s="556"/>
      <c r="I141" s="1800"/>
      <c r="J141" s="1800"/>
      <c r="K141" s="557">
        <v>1</v>
      </c>
      <c r="L141" s="589">
        <f>SUM(L142:L144)</f>
        <v>1</v>
      </c>
      <c r="M141" s="567"/>
      <c r="N141" s="562">
        <f>SUM(N142:N144)</f>
        <v>3.6999999999999998E-2</v>
      </c>
      <c r="O141" s="3169">
        <f>IF(Q141&gt;0,N141,"na")</f>
        <v>3.6999999999999998E-2</v>
      </c>
      <c r="P141" s="1889">
        <f>SUM(P142:P144)</f>
        <v>178415283</v>
      </c>
      <c r="Q141" s="1889">
        <f t="shared" ref="Q141:S141" si="52">SUM(Q142:Q144)</f>
        <v>178415283</v>
      </c>
      <c r="R141" s="1889">
        <f t="shared" si="52"/>
        <v>25526000</v>
      </c>
      <c r="S141" s="1889">
        <f t="shared" si="52"/>
        <v>8084000</v>
      </c>
      <c r="T141" s="1874">
        <f t="shared" ref="T141:U144" si="53">IF(Q141=0,0,R141/Q141)</f>
        <v>0.14307070319755064</v>
      </c>
      <c r="U141" s="1874">
        <f t="shared" si="53"/>
        <v>0.31669670140249156</v>
      </c>
      <c r="V141" s="1795"/>
      <c r="W141" s="1795"/>
      <c r="X141" s="1847"/>
      <c r="Y141" s="2926" t="s">
        <v>2863</v>
      </c>
    </row>
    <row r="142" spans="1:25" ht="171.6">
      <c r="A142" s="2928"/>
      <c r="B142" s="3173"/>
      <c r="C142" s="2928"/>
      <c r="D142" s="3033"/>
      <c r="E142" s="1746" t="s">
        <v>3104</v>
      </c>
      <c r="F142" s="556"/>
      <c r="G142" s="2926" t="s">
        <v>3105</v>
      </c>
      <c r="H142" s="3168"/>
      <c r="I142" s="583" t="s">
        <v>3106</v>
      </c>
      <c r="J142" s="1800" t="s">
        <v>3107</v>
      </c>
      <c r="K142" s="557">
        <v>4</v>
      </c>
      <c r="L142" s="589">
        <v>0.93</v>
      </c>
      <c r="M142" s="567">
        <v>0</v>
      </c>
      <c r="N142" s="562">
        <v>3.6999999999999998E-2</v>
      </c>
      <c r="O142" s="3169"/>
      <c r="P142" s="1888">
        <v>166781300</v>
      </c>
      <c r="Q142" s="1888">
        <v>166781300</v>
      </c>
      <c r="R142" s="1888">
        <v>25526000</v>
      </c>
      <c r="S142" s="1888">
        <v>8084000</v>
      </c>
      <c r="T142" s="1874">
        <f t="shared" si="53"/>
        <v>0.15305073170673211</v>
      </c>
      <c r="U142" s="1874">
        <f t="shared" si="53"/>
        <v>0.31669670140249156</v>
      </c>
      <c r="V142" s="1795">
        <v>45351</v>
      </c>
      <c r="W142" s="1795">
        <v>45412</v>
      </c>
      <c r="X142" s="1847" t="s">
        <v>3108</v>
      </c>
      <c r="Y142" s="2926"/>
    </row>
    <row r="143" spans="1:25" ht="66">
      <c r="A143" s="2928"/>
      <c r="B143" s="3173"/>
      <c r="C143" s="2928"/>
      <c r="D143" s="3033"/>
      <c r="E143" s="1746" t="s">
        <v>3109</v>
      </c>
      <c r="F143" s="556"/>
      <c r="G143" s="2926"/>
      <c r="H143" s="3168"/>
      <c r="I143" s="583" t="s">
        <v>3110</v>
      </c>
      <c r="J143" s="1800" t="s">
        <v>3035</v>
      </c>
      <c r="K143" s="557">
        <v>1</v>
      </c>
      <c r="L143" s="589">
        <v>0.03</v>
      </c>
      <c r="M143" s="567">
        <v>0</v>
      </c>
      <c r="N143" s="562">
        <v>0</v>
      </c>
      <c r="O143" s="3169"/>
      <c r="P143" s="1888">
        <v>5215083</v>
      </c>
      <c r="Q143" s="1888">
        <v>5215083</v>
      </c>
      <c r="R143" s="1888">
        <v>0</v>
      </c>
      <c r="S143" s="1888">
        <v>0</v>
      </c>
      <c r="T143" s="1874">
        <f t="shared" si="53"/>
        <v>0</v>
      </c>
      <c r="U143" s="1874">
        <f t="shared" si="53"/>
        <v>0</v>
      </c>
      <c r="V143" s="1795"/>
      <c r="W143" s="1795"/>
      <c r="X143" s="1847"/>
      <c r="Y143" s="2926"/>
    </row>
    <row r="144" spans="1:25" ht="92.4">
      <c r="A144" s="2928"/>
      <c r="B144" s="3173"/>
      <c r="C144" s="2928"/>
      <c r="D144" s="3033"/>
      <c r="E144" s="1746" t="s">
        <v>3111</v>
      </c>
      <c r="F144" s="556"/>
      <c r="G144" s="2926"/>
      <c r="H144" s="3168"/>
      <c r="I144" s="583" t="s">
        <v>3112</v>
      </c>
      <c r="J144" s="1800" t="s">
        <v>132</v>
      </c>
      <c r="K144" s="557">
        <v>1</v>
      </c>
      <c r="L144" s="589">
        <v>0.04</v>
      </c>
      <c r="M144" s="567">
        <v>0</v>
      </c>
      <c r="N144" s="562">
        <v>0</v>
      </c>
      <c r="O144" s="3169"/>
      <c r="P144" s="1888">
        <v>6418900</v>
      </c>
      <c r="Q144" s="1888">
        <v>6418900</v>
      </c>
      <c r="R144" s="1888">
        <v>0</v>
      </c>
      <c r="S144" s="1888">
        <v>0</v>
      </c>
      <c r="T144" s="1874">
        <f t="shared" si="53"/>
        <v>0</v>
      </c>
      <c r="U144" s="1874">
        <f t="shared" si="53"/>
        <v>0</v>
      </c>
      <c r="V144" s="1795"/>
      <c r="W144" s="1795"/>
      <c r="X144" s="1847"/>
      <c r="Y144" s="2926"/>
    </row>
    <row r="145" spans="1:25" ht="27.6">
      <c r="A145" s="555"/>
      <c r="B145" s="222">
        <v>52050010005</v>
      </c>
      <c r="C145" s="222" t="s">
        <v>117</v>
      </c>
      <c r="D145" s="217" t="s">
        <v>3113</v>
      </c>
      <c r="E145" s="549"/>
      <c r="F145" s="556"/>
      <c r="G145" s="583"/>
      <c r="H145" s="556"/>
      <c r="I145" s="1800"/>
      <c r="J145" s="1800"/>
      <c r="K145" s="557">
        <f>K146</f>
        <v>72</v>
      </c>
      <c r="L145" s="589"/>
      <c r="M145" s="567"/>
      <c r="N145" s="562"/>
      <c r="O145" s="562"/>
      <c r="P145" s="557"/>
      <c r="Q145" s="557"/>
      <c r="R145" s="557"/>
      <c r="S145" s="557"/>
      <c r="T145" s="562"/>
      <c r="U145" s="562"/>
      <c r="V145" s="1795"/>
      <c r="W145" s="1795"/>
      <c r="X145" s="1800"/>
      <c r="Y145" s="555"/>
    </row>
    <row r="146" spans="1:25">
      <c r="A146" s="2928">
        <v>4148</v>
      </c>
      <c r="B146" s="3173"/>
      <c r="C146" s="2928" t="s">
        <v>123</v>
      </c>
      <c r="D146" s="3033" t="s">
        <v>3114</v>
      </c>
      <c r="E146" s="1746" t="s">
        <v>3115</v>
      </c>
      <c r="F146" s="556"/>
      <c r="G146" s="583"/>
      <c r="H146" s="556"/>
      <c r="I146" s="1800"/>
      <c r="J146" s="1800"/>
      <c r="K146" s="557">
        <f>K147</f>
        <v>72</v>
      </c>
      <c r="L146" s="589">
        <f>L147</f>
        <v>1</v>
      </c>
      <c r="M146" s="567"/>
      <c r="N146" s="562">
        <f>N147</f>
        <v>0.02</v>
      </c>
      <c r="O146" s="3169">
        <f>IF(Q146&gt;0,N146,"na")</f>
        <v>0.02</v>
      </c>
      <c r="P146" s="557">
        <f>P147</f>
        <v>429244593</v>
      </c>
      <c r="Q146" s="557">
        <f t="shared" ref="Q146:S146" si="54">Q147</f>
        <v>429244593</v>
      </c>
      <c r="R146" s="557">
        <f t="shared" si="54"/>
        <v>29996000</v>
      </c>
      <c r="S146" s="557">
        <f t="shared" si="54"/>
        <v>14297000</v>
      </c>
      <c r="T146" s="1874">
        <f t="shared" ref="T146:U147" si="55">IF(Q146=0,0,R146/Q146)</f>
        <v>6.9880903543495534E-2</v>
      </c>
      <c r="U146" s="1874">
        <f t="shared" si="55"/>
        <v>0.47663021736231498</v>
      </c>
      <c r="V146" s="1795"/>
      <c r="W146" s="1795"/>
      <c r="X146" s="1847"/>
      <c r="Y146" s="2926" t="s">
        <v>2863</v>
      </c>
    </row>
    <row r="147" spans="1:25" ht="211.2">
      <c r="A147" s="2928"/>
      <c r="B147" s="3173"/>
      <c r="C147" s="2928"/>
      <c r="D147" s="3033"/>
      <c r="E147" s="1746" t="s">
        <v>3116</v>
      </c>
      <c r="F147" s="556"/>
      <c r="G147" s="583" t="s">
        <v>3113</v>
      </c>
      <c r="H147" s="556"/>
      <c r="I147" s="583" t="s">
        <v>3117</v>
      </c>
      <c r="J147" s="1800" t="s">
        <v>3077</v>
      </c>
      <c r="K147" s="557">
        <v>72</v>
      </c>
      <c r="L147" s="589">
        <v>1</v>
      </c>
      <c r="M147" s="567">
        <v>21</v>
      </c>
      <c r="N147" s="562">
        <v>0.02</v>
      </c>
      <c r="O147" s="3169"/>
      <c r="P147" s="1888">
        <v>429244593</v>
      </c>
      <c r="Q147" s="1888">
        <v>429244593</v>
      </c>
      <c r="R147" s="1888">
        <v>29996000</v>
      </c>
      <c r="S147" s="1888">
        <v>14297000</v>
      </c>
      <c r="T147" s="1874">
        <f t="shared" si="55"/>
        <v>6.9880903543495534E-2</v>
      </c>
      <c r="U147" s="1874">
        <f t="shared" si="55"/>
        <v>0.47663021736231498</v>
      </c>
      <c r="V147" s="1795">
        <v>45323</v>
      </c>
      <c r="W147" s="1795">
        <v>45412</v>
      </c>
      <c r="X147" s="1847" t="s">
        <v>3118</v>
      </c>
      <c r="Y147" s="2926"/>
    </row>
    <row r="148" spans="1:25">
      <c r="A148" s="555"/>
      <c r="B148" s="222">
        <v>52050010006</v>
      </c>
      <c r="C148" s="222" t="s">
        <v>117</v>
      </c>
      <c r="D148" s="217" t="s">
        <v>3119</v>
      </c>
      <c r="E148" s="549"/>
      <c r="F148" s="556"/>
      <c r="G148" s="583"/>
      <c r="H148" s="556"/>
      <c r="I148" s="1800"/>
      <c r="J148" s="1800"/>
      <c r="K148" s="557">
        <f>K149</f>
        <v>1</v>
      </c>
      <c r="L148" s="589"/>
      <c r="M148" s="567"/>
      <c r="N148" s="562"/>
      <c r="O148" s="562"/>
      <c r="P148" s="557"/>
      <c r="Q148" s="557"/>
      <c r="R148" s="557"/>
      <c r="S148" s="557"/>
      <c r="T148" s="562"/>
      <c r="U148" s="562"/>
      <c r="V148" s="1795"/>
      <c r="W148" s="1795"/>
      <c r="X148" s="1800"/>
      <c r="Y148" s="555"/>
    </row>
    <row r="149" spans="1:25">
      <c r="A149" s="2928">
        <v>4148</v>
      </c>
      <c r="B149" s="2928"/>
      <c r="C149" s="2928" t="s">
        <v>123</v>
      </c>
      <c r="D149" s="3033" t="s">
        <v>3120</v>
      </c>
      <c r="E149" s="1746" t="s">
        <v>3121</v>
      </c>
      <c r="F149" s="556"/>
      <c r="G149" s="583"/>
      <c r="H149" s="556"/>
      <c r="I149" s="1800"/>
      <c r="J149" s="1800"/>
      <c r="K149" s="557">
        <f>K150</f>
        <v>1</v>
      </c>
      <c r="L149" s="589">
        <f>SUM(L150:L150)</f>
        <v>1</v>
      </c>
      <c r="M149" s="567"/>
      <c r="N149" s="562">
        <f>SUM(N150:N150)</f>
        <v>0</v>
      </c>
      <c r="O149" s="3169">
        <f>IF(Q149&gt;0,N149,"na")</f>
        <v>0</v>
      </c>
      <c r="P149" s="557">
        <f>SUM(P150:P150)</f>
        <v>122284539</v>
      </c>
      <c r="Q149" s="557">
        <f t="shared" ref="Q149:S149" si="56">SUM(Q150:Q150)</f>
        <v>122284539</v>
      </c>
      <c r="R149" s="557">
        <f t="shared" si="56"/>
        <v>0</v>
      </c>
      <c r="S149" s="557">
        <f t="shared" si="56"/>
        <v>0</v>
      </c>
      <c r="T149" s="1874">
        <f t="shared" ref="T149:U150" si="57">IF(Q149=0,0,R149/Q149)</f>
        <v>0</v>
      </c>
      <c r="U149" s="1874">
        <f t="shared" si="57"/>
        <v>0</v>
      </c>
      <c r="V149" s="1795">
        <v>45306</v>
      </c>
      <c r="W149" s="1795">
        <v>45641</v>
      </c>
      <c r="X149" s="1847"/>
      <c r="Y149" s="2926" t="s">
        <v>2863</v>
      </c>
    </row>
    <row r="150" spans="1:25" ht="66">
      <c r="A150" s="2928"/>
      <c r="B150" s="2928"/>
      <c r="C150" s="2928"/>
      <c r="D150" s="3033"/>
      <c r="E150" s="549" t="s">
        <v>3122</v>
      </c>
      <c r="F150" s="556"/>
      <c r="G150" s="583" t="s">
        <v>3119</v>
      </c>
      <c r="H150" s="556"/>
      <c r="I150" s="583" t="s">
        <v>3123</v>
      </c>
      <c r="J150" s="583" t="s">
        <v>2921</v>
      </c>
      <c r="K150" s="557">
        <v>1</v>
      </c>
      <c r="L150" s="589">
        <v>1</v>
      </c>
      <c r="M150" s="567">
        <v>0</v>
      </c>
      <c r="N150" s="562">
        <v>0</v>
      </c>
      <c r="O150" s="3169"/>
      <c r="P150" s="1888">
        <v>122284539</v>
      </c>
      <c r="Q150" s="1888">
        <v>122284539</v>
      </c>
      <c r="R150" s="1888">
        <v>0</v>
      </c>
      <c r="S150" s="1888">
        <v>0</v>
      </c>
      <c r="T150" s="1874">
        <f t="shared" si="57"/>
        <v>0</v>
      </c>
      <c r="U150" s="1874">
        <f t="shared" si="57"/>
        <v>0</v>
      </c>
      <c r="V150" s="1795"/>
      <c r="W150" s="1795"/>
      <c r="X150" s="1800"/>
      <c r="Y150" s="2926"/>
    </row>
    <row r="151" spans="1:25" ht="27.6">
      <c r="A151" s="555"/>
      <c r="B151" s="222">
        <v>52050010007</v>
      </c>
      <c r="C151" s="222" t="s">
        <v>117</v>
      </c>
      <c r="D151" s="217" t="s">
        <v>3124</v>
      </c>
      <c r="E151" s="549"/>
      <c r="F151" s="556"/>
      <c r="G151" s="583"/>
      <c r="H151" s="556"/>
      <c r="I151" s="1800"/>
      <c r="J151" s="1800"/>
      <c r="K151" s="557">
        <f>K152+K156</f>
        <v>3</v>
      </c>
      <c r="L151" s="589"/>
      <c r="M151" s="567"/>
      <c r="N151" s="562"/>
      <c r="O151" s="562"/>
      <c r="P151" s="557"/>
      <c r="Q151" s="557"/>
      <c r="R151" s="557"/>
      <c r="S151" s="557"/>
      <c r="T151" s="562"/>
      <c r="U151" s="562"/>
      <c r="V151" s="1795"/>
      <c r="W151" s="1795"/>
      <c r="X151" s="1800"/>
      <c r="Y151" s="555"/>
    </row>
    <row r="152" spans="1:25">
      <c r="A152" s="2928">
        <v>4148</v>
      </c>
      <c r="B152" s="2928"/>
      <c r="C152" s="2928" t="s">
        <v>123</v>
      </c>
      <c r="D152" s="3033" t="s">
        <v>3125</v>
      </c>
      <c r="E152" s="1746" t="s">
        <v>3126</v>
      </c>
      <c r="F152" s="556"/>
      <c r="G152" s="583"/>
      <c r="H152" s="556"/>
      <c r="I152" s="1800"/>
      <c r="J152" s="1800"/>
      <c r="K152" s="557">
        <v>1</v>
      </c>
      <c r="L152" s="589">
        <f>SUM(L153:L155)</f>
        <v>1</v>
      </c>
      <c r="M152" s="567"/>
      <c r="N152" s="562">
        <f>SUM(N153:N155)</f>
        <v>0.05</v>
      </c>
      <c r="O152" s="3169">
        <f>IF(Q152&gt;0,N152,"na")</f>
        <v>0.05</v>
      </c>
      <c r="P152" s="557">
        <f>SUM(P153:P155)</f>
        <v>150000000</v>
      </c>
      <c r="Q152" s="557">
        <f t="shared" ref="Q152:S152" si="58">SUM(Q153:Q155)</f>
        <v>150000000</v>
      </c>
      <c r="R152" s="557">
        <f t="shared" si="58"/>
        <v>13314000</v>
      </c>
      <c r="S152" s="557">
        <f t="shared" si="58"/>
        <v>4438000</v>
      </c>
      <c r="T152" s="1874">
        <f t="shared" ref="T152:U160" si="59">IF(Q152=0,0,R152/Q152)</f>
        <v>8.8760000000000006E-2</v>
      </c>
      <c r="U152" s="1874">
        <f t="shared" si="59"/>
        <v>0.33333333333333331</v>
      </c>
      <c r="V152" s="1795"/>
      <c r="W152" s="1795"/>
      <c r="X152" s="1847"/>
      <c r="Y152" s="2926" t="s">
        <v>2863</v>
      </c>
    </row>
    <row r="153" spans="1:25" ht="52.8">
      <c r="A153" s="2928"/>
      <c r="B153" s="2928"/>
      <c r="C153" s="2928"/>
      <c r="D153" s="3033"/>
      <c r="E153" s="549" t="s">
        <v>3127</v>
      </c>
      <c r="F153" s="556"/>
      <c r="G153" s="3167" t="s">
        <v>3124</v>
      </c>
      <c r="H153" s="3168"/>
      <c r="I153" s="583" t="s">
        <v>3128</v>
      </c>
      <c r="J153" s="583" t="s">
        <v>3129</v>
      </c>
      <c r="K153" s="557">
        <v>1</v>
      </c>
      <c r="L153" s="589">
        <v>0.06</v>
      </c>
      <c r="M153" s="567">
        <v>0</v>
      </c>
      <c r="N153" s="562">
        <v>0</v>
      </c>
      <c r="O153" s="3169"/>
      <c r="P153" s="1888">
        <v>9200000</v>
      </c>
      <c r="Q153" s="1888">
        <v>9200000</v>
      </c>
      <c r="R153" s="1888">
        <v>0</v>
      </c>
      <c r="S153" s="1888">
        <v>0</v>
      </c>
      <c r="T153" s="1874">
        <f t="shared" si="59"/>
        <v>0</v>
      </c>
      <c r="U153" s="1874">
        <f t="shared" si="59"/>
        <v>0</v>
      </c>
      <c r="V153" s="1795"/>
      <c r="W153" s="1795"/>
      <c r="X153" s="1800"/>
      <c r="Y153" s="2926"/>
    </row>
    <row r="154" spans="1:25" ht="26.4">
      <c r="A154" s="2928"/>
      <c r="B154" s="2928"/>
      <c r="C154" s="2928"/>
      <c r="D154" s="3033"/>
      <c r="E154" s="549" t="s">
        <v>3130</v>
      </c>
      <c r="F154" s="556"/>
      <c r="G154" s="3167"/>
      <c r="H154" s="3168"/>
      <c r="I154" s="583" t="s">
        <v>3131</v>
      </c>
      <c r="J154" s="1800" t="s">
        <v>2912</v>
      </c>
      <c r="K154" s="557">
        <v>150</v>
      </c>
      <c r="L154" s="589">
        <v>0.08</v>
      </c>
      <c r="M154" s="567">
        <v>0</v>
      </c>
      <c r="N154" s="562">
        <v>0</v>
      </c>
      <c r="O154" s="3169"/>
      <c r="P154" s="1888">
        <v>12451200</v>
      </c>
      <c r="Q154" s="1888">
        <v>12451200</v>
      </c>
      <c r="R154" s="1888">
        <v>0</v>
      </c>
      <c r="S154" s="1888">
        <v>0</v>
      </c>
      <c r="T154" s="1874">
        <f t="shared" si="59"/>
        <v>0</v>
      </c>
      <c r="U154" s="1874">
        <f t="shared" si="59"/>
        <v>0</v>
      </c>
      <c r="V154" s="1795"/>
      <c r="W154" s="1795"/>
      <c r="X154" s="1800"/>
      <c r="Y154" s="2926"/>
    </row>
    <row r="155" spans="1:25" ht="79.2">
      <c r="A155" s="2928"/>
      <c r="B155" s="2928"/>
      <c r="C155" s="2928"/>
      <c r="D155" s="3033"/>
      <c r="E155" s="549" t="s">
        <v>3132</v>
      </c>
      <c r="F155" s="556"/>
      <c r="G155" s="3167"/>
      <c r="H155" s="3168"/>
      <c r="I155" s="583" t="s">
        <v>3133</v>
      </c>
      <c r="J155" s="1800" t="s">
        <v>2902</v>
      </c>
      <c r="K155" s="557">
        <v>3184</v>
      </c>
      <c r="L155" s="589">
        <v>0.86</v>
      </c>
      <c r="M155" s="567">
        <v>0</v>
      </c>
      <c r="N155" s="562">
        <v>0.05</v>
      </c>
      <c r="O155" s="3169"/>
      <c r="P155" s="1888">
        <v>128348800</v>
      </c>
      <c r="Q155" s="1888">
        <v>128348800</v>
      </c>
      <c r="R155" s="1888">
        <v>13314000</v>
      </c>
      <c r="S155" s="1888">
        <v>4438000</v>
      </c>
      <c r="T155" s="1874">
        <f t="shared" si="59"/>
        <v>0.10373295270388193</v>
      </c>
      <c r="U155" s="1874">
        <f t="shared" si="59"/>
        <v>0.33333333333333331</v>
      </c>
      <c r="V155" s="1795">
        <v>45342</v>
      </c>
      <c r="W155" s="1795">
        <v>45412</v>
      </c>
      <c r="X155" s="583" t="s">
        <v>3134</v>
      </c>
      <c r="Y155" s="2926"/>
    </row>
    <row r="156" spans="1:25">
      <c r="A156" s="2928">
        <v>4148</v>
      </c>
      <c r="B156" s="2928"/>
      <c r="C156" s="2928" t="s">
        <v>123</v>
      </c>
      <c r="D156" s="3033" t="s">
        <v>3135</v>
      </c>
      <c r="E156" s="1746" t="s">
        <v>3136</v>
      </c>
      <c r="F156" s="556"/>
      <c r="G156" s="583"/>
      <c r="H156" s="556"/>
      <c r="I156" s="1800"/>
      <c r="J156" s="1800"/>
      <c r="K156" s="557">
        <f>K157+K158</f>
        <v>2</v>
      </c>
      <c r="L156" s="589">
        <f>SUM(L157:L160)</f>
        <v>1</v>
      </c>
      <c r="M156" s="567"/>
      <c r="N156" s="562">
        <f>SUM(N157:N160)</f>
        <v>6.2E-2</v>
      </c>
      <c r="O156" s="3169">
        <f>IF(Q156&gt;0,N156,"na")</f>
        <v>6.2E-2</v>
      </c>
      <c r="P156" s="557">
        <f>SUM(P157:P160)</f>
        <v>489831443</v>
      </c>
      <c r="Q156" s="557">
        <f t="shared" ref="Q156:S156" si="60">SUM(Q157:Q160)</f>
        <v>489831443</v>
      </c>
      <c r="R156" s="557">
        <f t="shared" si="60"/>
        <v>64013000</v>
      </c>
      <c r="S156" s="557">
        <f t="shared" si="60"/>
        <v>26560000</v>
      </c>
      <c r="T156" s="1874">
        <f t="shared" si="59"/>
        <v>0.13068372991318974</v>
      </c>
      <c r="U156" s="1874">
        <f t="shared" si="59"/>
        <v>0.41491572024432538</v>
      </c>
      <c r="V156" s="1795"/>
      <c r="W156" s="1795"/>
      <c r="X156" s="1847"/>
      <c r="Y156" s="2926" t="s">
        <v>2863</v>
      </c>
    </row>
    <row r="157" spans="1:25" ht="132">
      <c r="A157" s="2928"/>
      <c r="B157" s="2928"/>
      <c r="C157" s="2928"/>
      <c r="D157" s="3033"/>
      <c r="E157" s="549" t="s">
        <v>3137</v>
      </c>
      <c r="F157" s="556"/>
      <c r="G157" s="212" t="s">
        <v>3124</v>
      </c>
      <c r="H157" s="556"/>
      <c r="I157" s="1800" t="s">
        <v>3138</v>
      </c>
      <c r="J157" s="583" t="s">
        <v>3139</v>
      </c>
      <c r="K157" s="557">
        <v>1</v>
      </c>
      <c r="L157" s="589">
        <v>0.3</v>
      </c>
      <c r="M157" s="567">
        <v>0</v>
      </c>
      <c r="N157" s="562">
        <v>4.3999999999999997E-2</v>
      </c>
      <c r="O157" s="3169"/>
      <c r="P157" s="1888">
        <v>142890000</v>
      </c>
      <c r="Q157" s="1888">
        <v>142890000</v>
      </c>
      <c r="R157" s="1888">
        <v>26425000</v>
      </c>
      <c r="S157" s="1888">
        <v>18511000</v>
      </c>
      <c r="T157" s="1874">
        <f t="shared" si="59"/>
        <v>0.18493246553292741</v>
      </c>
      <c r="U157" s="1874">
        <f t="shared" si="59"/>
        <v>0.70051087984862814</v>
      </c>
      <c r="V157" s="1795">
        <v>45322</v>
      </c>
      <c r="W157" s="1795">
        <v>45412</v>
      </c>
      <c r="X157" s="1814" t="s">
        <v>3140</v>
      </c>
      <c r="Y157" s="2926"/>
    </row>
    <row r="158" spans="1:25" ht="92.4">
      <c r="A158" s="2928"/>
      <c r="B158" s="2928"/>
      <c r="C158" s="2928"/>
      <c r="D158" s="3033"/>
      <c r="E158" s="549" t="s">
        <v>3141</v>
      </c>
      <c r="F158" s="556"/>
      <c r="G158" s="212" t="s">
        <v>3124</v>
      </c>
      <c r="H158" s="556"/>
      <c r="I158" s="1800" t="s">
        <v>3142</v>
      </c>
      <c r="J158" s="583" t="s">
        <v>3143</v>
      </c>
      <c r="K158" s="557">
        <v>1</v>
      </c>
      <c r="L158" s="589">
        <v>0.3</v>
      </c>
      <c r="M158" s="567">
        <v>0</v>
      </c>
      <c r="N158" s="562">
        <v>0</v>
      </c>
      <c r="O158" s="3169"/>
      <c r="P158" s="1888">
        <v>170321677</v>
      </c>
      <c r="Q158" s="1888">
        <v>170321677</v>
      </c>
      <c r="R158" s="1888">
        <v>26856000</v>
      </c>
      <c r="S158" s="1888">
        <v>0</v>
      </c>
      <c r="T158" s="1874">
        <f t="shared" si="59"/>
        <v>0.15767810928728701</v>
      </c>
      <c r="U158" s="1874">
        <f t="shared" si="59"/>
        <v>0</v>
      </c>
      <c r="V158" s="1795"/>
      <c r="W158" s="1795"/>
      <c r="X158" s="1800"/>
      <c r="Y158" s="2926"/>
    </row>
    <row r="159" spans="1:25" ht="132">
      <c r="A159" s="2928"/>
      <c r="B159" s="2928"/>
      <c r="C159" s="2928"/>
      <c r="D159" s="3033"/>
      <c r="E159" s="549" t="s">
        <v>3144</v>
      </c>
      <c r="F159" s="556"/>
      <c r="G159" s="583"/>
      <c r="H159" s="556"/>
      <c r="I159" s="1800" t="s">
        <v>3145</v>
      </c>
      <c r="J159" s="583" t="s">
        <v>3146</v>
      </c>
      <c r="K159" s="557">
        <v>1200</v>
      </c>
      <c r="L159" s="589">
        <v>0.2</v>
      </c>
      <c r="M159" s="567">
        <v>478</v>
      </c>
      <c r="N159" s="562">
        <v>1.7999999999999999E-2</v>
      </c>
      <c r="O159" s="3169"/>
      <c r="P159" s="1888">
        <v>114490200</v>
      </c>
      <c r="Q159" s="1888">
        <v>114490200</v>
      </c>
      <c r="R159" s="1888">
        <v>10732000</v>
      </c>
      <c r="S159" s="1888">
        <v>8049000</v>
      </c>
      <c r="T159" s="1874">
        <f t="shared" si="59"/>
        <v>9.373728057073881E-2</v>
      </c>
      <c r="U159" s="1874">
        <f t="shared" si="59"/>
        <v>0.75</v>
      </c>
      <c r="V159" s="1795">
        <v>45322</v>
      </c>
      <c r="W159" s="1795">
        <v>45412</v>
      </c>
      <c r="X159" s="1800" t="s">
        <v>3147</v>
      </c>
      <c r="Y159" s="2926"/>
    </row>
    <row r="160" spans="1:25" ht="66">
      <c r="A160" s="2928"/>
      <c r="B160" s="2928"/>
      <c r="C160" s="2928"/>
      <c r="D160" s="3033"/>
      <c r="E160" s="549" t="s">
        <v>3148</v>
      </c>
      <c r="F160" s="556"/>
      <c r="G160" s="583"/>
      <c r="H160" s="556"/>
      <c r="I160" s="1800" t="s">
        <v>3149</v>
      </c>
      <c r="J160" s="1800" t="s">
        <v>3150</v>
      </c>
      <c r="K160" s="557">
        <v>2</v>
      </c>
      <c r="L160" s="589">
        <v>0.2</v>
      </c>
      <c r="M160" s="567">
        <v>0</v>
      </c>
      <c r="N160" s="562">
        <v>0</v>
      </c>
      <c r="O160" s="3169"/>
      <c r="P160" s="1888">
        <v>62129566</v>
      </c>
      <c r="Q160" s="1888">
        <v>62129566</v>
      </c>
      <c r="R160" s="1888">
        <v>0</v>
      </c>
      <c r="S160" s="1888">
        <v>0</v>
      </c>
      <c r="T160" s="1874">
        <f t="shared" si="59"/>
        <v>0</v>
      </c>
      <c r="U160" s="1874">
        <f t="shared" si="59"/>
        <v>0</v>
      </c>
      <c r="V160" s="1795"/>
      <c r="W160" s="1795"/>
      <c r="X160" s="1800"/>
      <c r="Y160" s="2926"/>
    </row>
    <row r="161" spans="1:25">
      <c r="A161" s="555"/>
      <c r="B161" s="214">
        <v>5205002</v>
      </c>
      <c r="C161" s="214" t="s">
        <v>116</v>
      </c>
      <c r="D161" s="215" t="s">
        <v>3151</v>
      </c>
      <c r="E161" s="549"/>
      <c r="F161" s="556"/>
      <c r="G161" s="583"/>
      <c r="H161" s="556"/>
      <c r="I161" s="1800"/>
      <c r="J161" s="1800"/>
      <c r="K161" s="557"/>
      <c r="L161" s="589"/>
      <c r="M161" s="567"/>
      <c r="N161" s="562"/>
      <c r="O161" s="562"/>
      <c r="P161" s="557"/>
      <c r="Q161" s="557"/>
      <c r="R161" s="557"/>
      <c r="S161" s="557"/>
      <c r="T161" s="562"/>
      <c r="U161" s="562"/>
      <c r="V161" s="1795"/>
      <c r="W161" s="1795"/>
      <c r="X161" s="1800"/>
      <c r="Y161" s="555"/>
    </row>
    <row r="162" spans="1:25">
      <c r="A162" s="555"/>
      <c r="B162" s="222">
        <v>52050020001</v>
      </c>
      <c r="C162" s="222" t="s">
        <v>117</v>
      </c>
      <c r="D162" s="217" t="s">
        <v>3152</v>
      </c>
      <c r="E162" s="549"/>
      <c r="F162" s="556"/>
      <c r="G162" s="583"/>
      <c r="H162" s="556"/>
      <c r="I162" s="1800"/>
      <c r="J162" s="1800"/>
      <c r="K162" s="812">
        <f>K163+K165+K167+K170+K172+K174+K176+K178+K180+K182+K184+K186+K188+K190+K192+K194+K196</f>
        <v>7492</v>
      </c>
      <c r="L162" s="589"/>
      <c r="M162" s="567"/>
      <c r="N162" s="562"/>
      <c r="O162" s="562"/>
      <c r="P162" s="557"/>
      <c r="Q162" s="557"/>
      <c r="R162" s="557"/>
      <c r="S162" s="557"/>
      <c r="T162" s="562"/>
      <c r="U162" s="562"/>
      <c r="V162" s="1795"/>
      <c r="W162" s="1795"/>
      <c r="X162" s="1800"/>
      <c r="Y162" s="555"/>
    </row>
    <row r="163" spans="1:25">
      <c r="A163" s="2928">
        <v>4148</v>
      </c>
      <c r="B163" s="2928"/>
      <c r="C163" s="2928" t="s">
        <v>123</v>
      </c>
      <c r="D163" s="3033" t="s">
        <v>3153</v>
      </c>
      <c r="E163" s="1746" t="s">
        <v>3154</v>
      </c>
      <c r="F163" s="556"/>
      <c r="G163" s="583"/>
      <c r="H163" s="556"/>
      <c r="I163" s="1800"/>
      <c r="J163" s="1800"/>
      <c r="K163" s="557">
        <f>K164</f>
        <v>114</v>
      </c>
      <c r="L163" s="589">
        <f>L164</f>
        <v>1</v>
      </c>
      <c r="M163" s="567"/>
      <c r="N163" s="562">
        <f>N164</f>
        <v>0</v>
      </c>
      <c r="O163" s="3169">
        <f>IF(Q163&gt;0,N163,"na")</f>
        <v>0</v>
      </c>
      <c r="P163" s="1888">
        <f>P164</f>
        <v>60000000</v>
      </c>
      <c r="Q163" s="1888">
        <f t="shared" ref="Q163:S163" si="61">Q164</f>
        <v>60000000</v>
      </c>
      <c r="R163" s="1888">
        <f t="shared" si="61"/>
        <v>0</v>
      </c>
      <c r="S163" s="1888">
        <f t="shared" si="61"/>
        <v>0</v>
      </c>
      <c r="T163" s="1874">
        <f t="shared" ref="T163:U197" si="62">IF(Q163=0,0,R163/Q163)</f>
        <v>0</v>
      </c>
      <c r="U163" s="1874">
        <f t="shared" si="62"/>
        <v>0</v>
      </c>
      <c r="V163" s="1795">
        <v>45449</v>
      </c>
      <c r="W163" s="1795">
        <v>45611</v>
      </c>
      <c r="X163" s="1847"/>
      <c r="Y163" s="2926" t="s">
        <v>2841</v>
      </c>
    </row>
    <row r="164" spans="1:25" ht="79.2">
      <c r="A164" s="2928"/>
      <c r="B164" s="2928"/>
      <c r="C164" s="2928"/>
      <c r="D164" s="3033"/>
      <c r="E164" s="1746" t="s">
        <v>3155</v>
      </c>
      <c r="F164" s="556"/>
      <c r="G164" s="583" t="s">
        <v>3152</v>
      </c>
      <c r="H164" s="556"/>
      <c r="I164" s="1800" t="s">
        <v>3156</v>
      </c>
      <c r="J164" s="1800" t="s">
        <v>3157</v>
      </c>
      <c r="K164" s="557">
        <v>114</v>
      </c>
      <c r="L164" s="589">
        <v>1</v>
      </c>
      <c r="M164" s="567">
        <v>0</v>
      </c>
      <c r="N164" s="562">
        <v>0</v>
      </c>
      <c r="O164" s="3169"/>
      <c r="P164" s="1888">
        <v>60000000</v>
      </c>
      <c r="Q164" s="1888">
        <v>60000000</v>
      </c>
      <c r="R164" s="1888">
        <v>0</v>
      </c>
      <c r="S164" s="1888">
        <v>0</v>
      </c>
      <c r="T164" s="1874">
        <f t="shared" si="62"/>
        <v>0</v>
      </c>
      <c r="U164" s="1874">
        <f t="shared" si="62"/>
        <v>0</v>
      </c>
      <c r="V164" s="1795"/>
      <c r="W164" s="1795"/>
      <c r="X164" s="1847"/>
      <c r="Y164" s="2926"/>
    </row>
    <row r="165" spans="1:25">
      <c r="A165" s="2928">
        <v>4148</v>
      </c>
      <c r="B165" s="2928"/>
      <c r="C165" s="2928" t="s">
        <v>123</v>
      </c>
      <c r="D165" s="3033" t="s">
        <v>3158</v>
      </c>
      <c r="E165" s="1746" t="s">
        <v>3159</v>
      </c>
      <c r="F165" s="556"/>
      <c r="G165" s="583"/>
      <c r="H165" s="556"/>
      <c r="I165" s="1800"/>
      <c r="J165" s="1800"/>
      <c r="K165" s="557">
        <f>K166</f>
        <v>50</v>
      </c>
      <c r="L165" s="589">
        <f>L166</f>
        <v>1</v>
      </c>
      <c r="M165" s="567"/>
      <c r="N165" s="562">
        <f>N166</f>
        <v>0</v>
      </c>
      <c r="O165" s="3169">
        <f>IF(Q165&gt;0,N165,"na")</f>
        <v>0</v>
      </c>
      <c r="P165" s="1888">
        <f>P166</f>
        <v>35000000</v>
      </c>
      <c r="Q165" s="1888">
        <f t="shared" ref="Q165:S165" si="63">Q166</f>
        <v>35000000</v>
      </c>
      <c r="R165" s="1888">
        <f t="shared" si="63"/>
        <v>0</v>
      </c>
      <c r="S165" s="1888">
        <f t="shared" si="63"/>
        <v>0</v>
      </c>
      <c r="T165" s="1874">
        <f t="shared" si="62"/>
        <v>0</v>
      </c>
      <c r="U165" s="1874">
        <f t="shared" si="62"/>
        <v>0</v>
      </c>
      <c r="V165" s="1795">
        <v>45449</v>
      </c>
      <c r="W165" s="1795">
        <v>45611</v>
      </c>
      <c r="X165" s="1847"/>
      <c r="Y165" s="2926" t="s">
        <v>2841</v>
      </c>
    </row>
    <row r="166" spans="1:25" ht="79.2">
      <c r="A166" s="2928"/>
      <c r="B166" s="2928"/>
      <c r="C166" s="2928"/>
      <c r="D166" s="3033"/>
      <c r="E166" s="1746" t="s">
        <v>3160</v>
      </c>
      <c r="F166" s="556"/>
      <c r="G166" s="583" t="s">
        <v>3152</v>
      </c>
      <c r="H166" s="556"/>
      <c r="I166" s="1800" t="s">
        <v>3161</v>
      </c>
      <c r="J166" s="1800" t="s">
        <v>120</v>
      </c>
      <c r="K166" s="557">
        <v>50</v>
      </c>
      <c r="L166" s="589">
        <v>1</v>
      </c>
      <c r="M166" s="567">
        <v>0</v>
      </c>
      <c r="N166" s="562">
        <v>0</v>
      </c>
      <c r="O166" s="3169"/>
      <c r="P166" s="1888">
        <v>35000000</v>
      </c>
      <c r="Q166" s="1888">
        <v>35000000</v>
      </c>
      <c r="R166" s="1888">
        <v>0</v>
      </c>
      <c r="S166" s="1888">
        <v>0</v>
      </c>
      <c r="T166" s="1874">
        <f t="shared" si="62"/>
        <v>0</v>
      </c>
      <c r="U166" s="1874">
        <f t="shared" si="62"/>
        <v>0</v>
      </c>
      <c r="V166" s="1795"/>
      <c r="W166" s="1795"/>
      <c r="X166" s="1847"/>
      <c r="Y166" s="2926"/>
    </row>
    <row r="167" spans="1:25">
      <c r="A167" s="2928">
        <v>4148</v>
      </c>
      <c r="B167" s="2928"/>
      <c r="C167" s="2928" t="s">
        <v>123</v>
      </c>
      <c r="D167" s="3033" t="s">
        <v>3162</v>
      </c>
      <c r="E167" s="1746" t="s">
        <v>3163</v>
      </c>
      <c r="F167" s="556"/>
      <c r="G167" s="583"/>
      <c r="H167" s="556"/>
      <c r="I167" s="1800"/>
      <c r="J167" s="1800"/>
      <c r="K167" s="557">
        <f>K168</f>
        <v>2762</v>
      </c>
      <c r="L167" s="589">
        <f>SUM(L168:L169)</f>
        <v>1</v>
      </c>
      <c r="M167" s="567"/>
      <c r="N167" s="562">
        <f>SUM(N168:N169)</f>
        <v>3.5000000000000003E-2</v>
      </c>
      <c r="O167" s="3169">
        <f>IF(167&gt;0,N167,"na")</f>
        <v>3.5000000000000003E-2</v>
      </c>
      <c r="P167" s="557">
        <f>SUM(P168:P169)</f>
        <v>2472993974</v>
      </c>
      <c r="Q167" s="557">
        <f t="shared" ref="Q167:S167" si="64">SUM(Q168:Q169)</f>
        <v>2472993974</v>
      </c>
      <c r="R167" s="557">
        <f t="shared" si="64"/>
        <v>129116500</v>
      </c>
      <c r="S167" s="557">
        <f t="shared" si="64"/>
        <v>60790500</v>
      </c>
      <c r="T167" s="1874">
        <f t="shared" si="62"/>
        <v>5.221060033201682E-2</v>
      </c>
      <c r="U167" s="1874">
        <f t="shared" si="62"/>
        <v>0.47081898905252234</v>
      </c>
      <c r="V167" s="1795"/>
      <c r="W167" s="1795"/>
      <c r="X167" s="1847"/>
      <c r="Y167" s="2926" t="s">
        <v>2841</v>
      </c>
    </row>
    <row r="168" spans="1:25" ht="184.8">
      <c r="A168" s="2928"/>
      <c r="B168" s="2928"/>
      <c r="C168" s="2928"/>
      <c r="D168" s="3033"/>
      <c r="E168" s="549" t="s">
        <v>3164</v>
      </c>
      <c r="F168" s="556"/>
      <c r="G168" s="583" t="s">
        <v>3152</v>
      </c>
      <c r="H168" s="556"/>
      <c r="I168" s="1800" t="s">
        <v>3165</v>
      </c>
      <c r="J168" s="1800" t="s">
        <v>267</v>
      </c>
      <c r="K168" s="557">
        <v>2762</v>
      </c>
      <c r="L168" s="589">
        <v>0.7</v>
      </c>
      <c r="M168" s="567">
        <v>0</v>
      </c>
      <c r="N168" s="562">
        <v>3.5000000000000003E-2</v>
      </c>
      <c r="O168" s="3169"/>
      <c r="P168" s="1888">
        <v>2369729439</v>
      </c>
      <c r="Q168" s="1888">
        <v>2369729439</v>
      </c>
      <c r="R168" s="1888">
        <v>129116500</v>
      </c>
      <c r="S168" s="1888">
        <v>60790500</v>
      </c>
      <c r="T168" s="1874">
        <f t="shared" si="62"/>
        <v>5.4485756000265478E-2</v>
      </c>
      <c r="U168" s="1874">
        <f t="shared" si="62"/>
        <v>0.47081898905252234</v>
      </c>
      <c r="V168" s="1795">
        <v>45323</v>
      </c>
      <c r="W168" s="1795">
        <v>45412</v>
      </c>
      <c r="X168" s="1800" t="s">
        <v>3166</v>
      </c>
      <c r="Y168" s="2926"/>
    </row>
    <row r="169" spans="1:25" ht="39.6">
      <c r="A169" s="2928"/>
      <c r="B169" s="2928"/>
      <c r="C169" s="2928"/>
      <c r="D169" s="3033"/>
      <c r="E169" s="549" t="s">
        <v>3167</v>
      </c>
      <c r="F169" s="556"/>
      <c r="G169" s="583"/>
      <c r="H169" s="556"/>
      <c r="I169" s="1800" t="s">
        <v>3168</v>
      </c>
      <c r="J169" s="583" t="s">
        <v>3169</v>
      </c>
      <c r="K169" s="557">
        <v>5</v>
      </c>
      <c r="L169" s="589">
        <v>0.3</v>
      </c>
      <c r="M169" s="567">
        <v>0</v>
      </c>
      <c r="N169" s="562">
        <v>0</v>
      </c>
      <c r="O169" s="3169"/>
      <c r="P169" s="1888">
        <v>103264535</v>
      </c>
      <c r="Q169" s="1888">
        <v>103264535</v>
      </c>
      <c r="R169" s="1888">
        <v>0</v>
      </c>
      <c r="S169" s="1888">
        <v>0</v>
      </c>
      <c r="T169" s="1874">
        <f t="shared" si="62"/>
        <v>0</v>
      </c>
      <c r="U169" s="1874">
        <f t="shared" si="62"/>
        <v>0</v>
      </c>
      <c r="V169" s="1795"/>
      <c r="W169" s="1795"/>
      <c r="X169" s="1800"/>
      <c r="Y169" s="2926"/>
    </row>
    <row r="170" spans="1:25">
      <c r="A170" s="2928">
        <v>4148</v>
      </c>
      <c r="B170" s="2928"/>
      <c r="C170" s="2928" t="s">
        <v>123</v>
      </c>
      <c r="D170" s="3033" t="s">
        <v>3170</v>
      </c>
      <c r="E170" s="1746" t="s">
        <v>3171</v>
      </c>
      <c r="F170" s="556"/>
      <c r="G170" s="583"/>
      <c r="H170" s="556"/>
      <c r="I170" s="1800"/>
      <c r="J170" s="1800"/>
      <c r="K170" s="557">
        <f>K171</f>
        <v>120</v>
      </c>
      <c r="L170" s="589">
        <f>L171</f>
        <v>1</v>
      </c>
      <c r="M170" s="567"/>
      <c r="N170" s="562">
        <f>N171</f>
        <v>0</v>
      </c>
      <c r="O170" s="3169">
        <f>IF(Q170&gt;0,N170,"na")</f>
        <v>0</v>
      </c>
      <c r="P170" s="1888">
        <f>P171</f>
        <v>149828320</v>
      </c>
      <c r="Q170" s="1888">
        <f t="shared" ref="Q170:S170" si="65">Q171</f>
        <v>149828320</v>
      </c>
      <c r="R170" s="1888">
        <f t="shared" si="65"/>
        <v>0</v>
      </c>
      <c r="S170" s="1888">
        <f t="shared" si="65"/>
        <v>0</v>
      </c>
      <c r="T170" s="1874">
        <f t="shared" si="62"/>
        <v>0</v>
      </c>
      <c r="U170" s="1874">
        <f t="shared" si="62"/>
        <v>0</v>
      </c>
      <c r="V170" s="1795">
        <v>45449</v>
      </c>
      <c r="W170" s="1795">
        <v>45611</v>
      </c>
      <c r="X170" s="1847"/>
      <c r="Y170" s="2926" t="s">
        <v>2841</v>
      </c>
    </row>
    <row r="171" spans="1:25" ht="79.2">
      <c r="A171" s="2928"/>
      <c r="B171" s="2928"/>
      <c r="C171" s="2928"/>
      <c r="D171" s="3033"/>
      <c r="E171" s="1746" t="s">
        <v>3172</v>
      </c>
      <c r="F171" s="556"/>
      <c r="G171" s="583" t="s">
        <v>3152</v>
      </c>
      <c r="H171" s="556"/>
      <c r="I171" s="1800" t="s">
        <v>3173</v>
      </c>
      <c r="J171" s="1800" t="s">
        <v>3157</v>
      </c>
      <c r="K171" s="557">
        <v>120</v>
      </c>
      <c r="L171" s="589">
        <v>1</v>
      </c>
      <c r="M171" s="567">
        <v>0</v>
      </c>
      <c r="N171" s="562">
        <v>0</v>
      </c>
      <c r="O171" s="3169"/>
      <c r="P171" s="1888">
        <v>149828320</v>
      </c>
      <c r="Q171" s="1888">
        <v>149828320</v>
      </c>
      <c r="R171" s="1888">
        <v>0</v>
      </c>
      <c r="S171" s="1888">
        <v>0</v>
      </c>
      <c r="T171" s="1874">
        <f t="shared" si="62"/>
        <v>0</v>
      </c>
      <c r="U171" s="1874">
        <f t="shared" si="62"/>
        <v>0</v>
      </c>
      <c r="V171" s="1795"/>
      <c r="W171" s="1795"/>
      <c r="X171" s="1847"/>
      <c r="Y171" s="2926"/>
    </row>
    <row r="172" spans="1:25">
      <c r="A172" s="2928">
        <v>4148</v>
      </c>
      <c r="B172" s="2928"/>
      <c r="C172" s="2928" t="s">
        <v>123</v>
      </c>
      <c r="D172" s="3033" t="s">
        <v>3174</v>
      </c>
      <c r="E172" s="1746" t="s">
        <v>3175</v>
      </c>
      <c r="F172" s="556"/>
      <c r="G172" s="583"/>
      <c r="H172" s="556"/>
      <c r="I172" s="1800"/>
      <c r="J172" s="1800"/>
      <c r="K172" s="557">
        <f>K173</f>
        <v>800</v>
      </c>
      <c r="L172" s="589">
        <f>L173</f>
        <v>1</v>
      </c>
      <c r="M172" s="567"/>
      <c r="N172" s="562">
        <f>N173</f>
        <v>0</v>
      </c>
      <c r="O172" s="3169">
        <f>IF(Q172&gt;0,N172,"na")</f>
        <v>0</v>
      </c>
      <c r="P172" s="1888">
        <f>P173</f>
        <v>430884415</v>
      </c>
      <c r="Q172" s="1888">
        <f t="shared" ref="Q172:S172" si="66">Q173</f>
        <v>430884415</v>
      </c>
      <c r="R172" s="1888">
        <f t="shared" si="66"/>
        <v>0</v>
      </c>
      <c r="S172" s="1888">
        <f t="shared" si="66"/>
        <v>0</v>
      </c>
      <c r="T172" s="1874">
        <f t="shared" si="62"/>
        <v>0</v>
      </c>
      <c r="U172" s="1874">
        <f t="shared" si="62"/>
        <v>0</v>
      </c>
      <c r="V172" s="1795">
        <v>45448</v>
      </c>
      <c r="W172" s="1795">
        <v>45657</v>
      </c>
      <c r="X172" s="1847"/>
      <c r="Y172" s="2926" t="s">
        <v>2841</v>
      </c>
    </row>
    <row r="173" spans="1:25" ht="79.2">
      <c r="A173" s="2928"/>
      <c r="B173" s="2928"/>
      <c r="C173" s="2928"/>
      <c r="D173" s="3033"/>
      <c r="E173" s="1746" t="s">
        <v>3176</v>
      </c>
      <c r="F173" s="556"/>
      <c r="G173" s="583" t="s">
        <v>3152</v>
      </c>
      <c r="H173" s="556"/>
      <c r="I173" s="1800" t="s">
        <v>3177</v>
      </c>
      <c r="J173" s="1800" t="s">
        <v>120</v>
      </c>
      <c r="K173" s="557">
        <v>800</v>
      </c>
      <c r="L173" s="589">
        <v>1</v>
      </c>
      <c r="M173" s="567">
        <v>0</v>
      </c>
      <c r="N173" s="562">
        <v>0</v>
      </c>
      <c r="O173" s="3169"/>
      <c r="P173" s="1888">
        <v>430884415</v>
      </c>
      <c r="Q173" s="1888">
        <v>430884415</v>
      </c>
      <c r="R173" s="1888">
        <v>0</v>
      </c>
      <c r="S173" s="1888">
        <v>0</v>
      </c>
      <c r="T173" s="1874">
        <f t="shared" si="62"/>
        <v>0</v>
      </c>
      <c r="U173" s="1874">
        <f t="shared" si="62"/>
        <v>0</v>
      </c>
      <c r="V173" s="1795"/>
      <c r="W173" s="1795"/>
      <c r="X173" s="1847"/>
      <c r="Y173" s="2926"/>
    </row>
    <row r="174" spans="1:25">
      <c r="A174" s="2928">
        <v>4148</v>
      </c>
      <c r="B174" s="2928"/>
      <c r="C174" s="2928" t="s">
        <v>123</v>
      </c>
      <c r="D174" s="3033" t="s">
        <v>3178</v>
      </c>
      <c r="E174" s="1746" t="s">
        <v>3179</v>
      </c>
      <c r="F174" s="556"/>
      <c r="G174" s="583"/>
      <c r="H174" s="556"/>
      <c r="I174" s="1800"/>
      <c r="J174" s="1800"/>
      <c r="K174" s="557">
        <f>K175</f>
        <v>70</v>
      </c>
      <c r="L174" s="589">
        <f>L175</f>
        <v>1</v>
      </c>
      <c r="M174" s="567"/>
      <c r="N174" s="562">
        <f>N175</f>
        <v>0</v>
      </c>
      <c r="O174" s="3169">
        <f>IF(Q174&gt;0,N174,"na")</f>
        <v>0</v>
      </c>
      <c r="P174" s="1888">
        <f>P175</f>
        <v>54500000</v>
      </c>
      <c r="Q174" s="1888">
        <f t="shared" ref="Q174:S174" si="67">Q175</f>
        <v>54500000</v>
      </c>
      <c r="R174" s="1888">
        <f t="shared" si="67"/>
        <v>0</v>
      </c>
      <c r="S174" s="1888">
        <f t="shared" si="67"/>
        <v>0</v>
      </c>
      <c r="T174" s="1874">
        <f t="shared" si="62"/>
        <v>0</v>
      </c>
      <c r="U174" s="1874">
        <f t="shared" si="62"/>
        <v>0</v>
      </c>
      <c r="V174" s="1795">
        <v>45448</v>
      </c>
      <c r="W174" s="1795">
        <v>45657</v>
      </c>
      <c r="X174" s="1847"/>
      <c r="Y174" s="2926" t="s">
        <v>2841</v>
      </c>
    </row>
    <row r="175" spans="1:25" ht="79.2">
      <c r="A175" s="2928"/>
      <c r="B175" s="2928"/>
      <c r="C175" s="2928"/>
      <c r="D175" s="3033"/>
      <c r="E175" s="1746" t="s">
        <v>3180</v>
      </c>
      <c r="F175" s="556"/>
      <c r="G175" s="583" t="s">
        <v>3152</v>
      </c>
      <c r="H175" s="556"/>
      <c r="I175" s="1800" t="s">
        <v>3181</v>
      </c>
      <c r="J175" s="1800" t="s">
        <v>120</v>
      </c>
      <c r="K175" s="557">
        <v>70</v>
      </c>
      <c r="L175" s="589">
        <v>1</v>
      </c>
      <c r="M175" s="567">
        <v>0</v>
      </c>
      <c r="N175" s="562">
        <v>0</v>
      </c>
      <c r="O175" s="3169"/>
      <c r="P175" s="1888">
        <v>54500000</v>
      </c>
      <c r="Q175" s="1888">
        <v>54500000</v>
      </c>
      <c r="R175" s="1888">
        <v>0</v>
      </c>
      <c r="S175" s="1888">
        <v>0</v>
      </c>
      <c r="T175" s="1874">
        <f t="shared" si="62"/>
        <v>0</v>
      </c>
      <c r="U175" s="1874">
        <f t="shared" si="62"/>
        <v>0</v>
      </c>
      <c r="V175" s="1795"/>
      <c r="W175" s="1795"/>
      <c r="X175" s="1847"/>
      <c r="Y175" s="2926"/>
    </row>
    <row r="176" spans="1:25">
      <c r="A176" s="2928">
        <v>4148</v>
      </c>
      <c r="B176" s="2928"/>
      <c r="C176" s="2928" t="s">
        <v>123</v>
      </c>
      <c r="D176" s="3033" t="s">
        <v>3182</v>
      </c>
      <c r="E176" s="1746" t="s">
        <v>3183</v>
      </c>
      <c r="F176" s="556"/>
      <c r="G176" s="583"/>
      <c r="H176" s="556"/>
      <c r="I176" s="1800"/>
      <c r="J176" s="1800"/>
      <c r="K176" s="557">
        <f>K177</f>
        <v>200</v>
      </c>
      <c r="L176" s="589">
        <f>L177</f>
        <v>1</v>
      </c>
      <c r="M176" s="567"/>
      <c r="N176" s="562">
        <f>N177</f>
        <v>0</v>
      </c>
      <c r="O176" s="3169">
        <f>IF(Q176&gt;0,N176,"na")</f>
        <v>0</v>
      </c>
      <c r="P176" s="1888">
        <f>P177</f>
        <v>207478915</v>
      </c>
      <c r="Q176" s="1888">
        <f t="shared" ref="Q176:S176" si="68">Q177</f>
        <v>207478915</v>
      </c>
      <c r="R176" s="1888">
        <f t="shared" si="68"/>
        <v>0</v>
      </c>
      <c r="S176" s="1888">
        <f t="shared" si="68"/>
        <v>0</v>
      </c>
      <c r="T176" s="1874">
        <f t="shared" si="62"/>
        <v>0</v>
      </c>
      <c r="U176" s="1874">
        <f t="shared" si="62"/>
        <v>0</v>
      </c>
      <c r="V176" s="1795">
        <v>45448</v>
      </c>
      <c r="W176" s="1795">
        <v>45657</v>
      </c>
      <c r="X176" s="1847"/>
      <c r="Y176" s="2926" t="s">
        <v>2841</v>
      </c>
    </row>
    <row r="177" spans="1:25" ht="79.2">
      <c r="A177" s="2928"/>
      <c r="B177" s="2928"/>
      <c r="C177" s="2928"/>
      <c r="D177" s="3033"/>
      <c r="E177" s="1746" t="s">
        <v>3184</v>
      </c>
      <c r="F177" s="556"/>
      <c r="G177" s="583" t="s">
        <v>3152</v>
      </c>
      <c r="H177" s="556"/>
      <c r="I177" s="1800" t="s">
        <v>3185</v>
      </c>
      <c r="J177" s="1800" t="s">
        <v>120</v>
      </c>
      <c r="K177" s="557">
        <v>200</v>
      </c>
      <c r="L177" s="589">
        <v>1</v>
      </c>
      <c r="M177" s="567">
        <v>0</v>
      </c>
      <c r="N177" s="562">
        <v>0</v>
      </c>
      <c r="O177" s="3169"/>
      <c r="P177" s="1888">
        <v>207478915</v>
      </c>
      <c r="Q177" s="1888">
        <v>207478915</v>
      </c>
      <c r="R177" s="1888">
        <v>0</v>
      </c>
      <c r="S177" s="1888">
        <v>0</v>
      </c>
      <c r="T177" s="1874">
        <f t="shared" si="62"/>
        <v>0</v>
      </c>
      <c r="U177" s="1874">
        <f t="shared" si="62"/>
        <v>0</v>
      </c>
      <c r="V177" s="1795"/>
      <c r="W177" s="1795"/>
      <c r="X177" s="1847"/>
      <c r="Y177" s="2926"/>
    </row>
    <row r="178" spans="1:25">
      <c r="A178" s="2928">
        <v>4148</v>
      </c>
      <c r="B178" s="2928"/>
      <c r="C178" s="2928" t="s">
        <v>123</v>
      </c>
      <c r="D178" s="3033" t="s">
        <v>3186</v>
      </c>
      <c r="E178" s="1746" t="s">
        <v>3187</v>
      </c>
      <c r="F178" s="556"/>
      <c r="G178" s="583"/>
      <c r="H178" s="556"/>
      <c r="I178" s="1800"/>
      <c r="J178" s="1800"/>
      <c r="K178" s="557">
        <f>K179</f>
        <v>488</v>
      </c>
      <c r="L178" s="589">
        <f>L179</f>
        <v>1</v>
      </c>
      <c r="M178" s="567"/>
      <c r="N178" s="562">
        <f>N179</f>
        <v>0</v>
      </c>
      <c r="O178" s="3169">
        <f>IF(Q178&gt;0,N178,"na")</f>
        <v>0</v>
      </c>
      <c r="P178" s="1888">
        <f>P179</f>
        <v>407470500</v>
      </c>
      <c r="Q178" s="1888">
        <f t="shared" ref="Q178:S178" si="69">Q179</f>
        <v>407470500</v>
      </c>
      <c r="R178" s="1888">
        <f t="shared" si="69"/>
        <v>0</v>
      </c>
      <c r="S178" s="1888">
        <f t="shared" si="69"/>
        <v>0</v>
      </c>
      <c r="T178" s="1874">
        <f t="shared" si="62"/>
        <v>0</v>
      </c>
      <c r="U178" s="1874">
        <f t="shared" si="62"/>
        <v>0</v>
      </c>
      <c r="V178" s="1795">
        <v>45448</v>
      </c>
      <c r="W178" s="1795">
        <v>45657</v>
      </c>
      <c r="X178" s="1847"/>
      <c r="Y178" s="2926" t="s">
        <v>2841</v>
      </c>
    </row>
    <row r="179" spans="1:25" ht="79.2">
      <c r="A179" s="2928"/>
      <c r="B179" s="2928"/>
      <c r="C179" s="2928"/>
      <c r="D179" s="3033"/>
      <c r="E179" s="1746" t="s">
        <v>3188</v>
      </c>
      <c r="F179" s="556"/>
      <c r="G179" s="583" t="s">
        <v>3152</v>
      </c>
      <c r="H179" s="556"/>
      <c r="I179" s="1800" t="s">
        <v>3189</v>
      </c>
      <c r="J179" s="1800" t="s">
        <v>120</v>
      </c>
      <c r="K179" s="557">
        <v>488</v>
      </c>
      <c r="L179" s="589">
        <v>1</v>
      </c>
      <c r="M179" s="567">
        <v>0</v>
      </c>
      <c r="N179" s="562">
        <v>0</v>
      </c>
      <c r="O179" s="3169"/>
      <c r="P179" s="1888">
        <v>407470500</v>
      </c>
      <c r="Q179" s="1888">
        <v>407470500</v>
      </c>
      <c r="R179" s="1888">
        <v>0</v>
      </c>
      <c r="S179" s="1888">
        <v>0</v>
      </c>
      <c r="T179" s="1874">
        <f t="shared" si="62"/>
        <v>0</v>
      </c>
      <c r="U179" s="1874">
        <f t="shared" si="62"/>
        <v>0</v>
      </c>
      <c r="V179" s="1795"/>
      <c r="W179" s="1795"/>
      <c r="X179" s="1847"/>
      <c r="Y179" s="2926"/>
    </row>
    <row r="180" spans="1:25">
      <c r="A180" s="2928">
        <v>4148</v>
      </c>
      <c r="B180" s="2928"/>
      <c r="C180" s="2928" t="s">
        <v>123</v>
      </c>
      <c r="D180" s="3033" t="s">
        <v>3190</v>
      </c>
      <c r="E180" s="1746" t="s">
        <v>3191</v>
      </c>
      <c r="F180" s="556"/>
      <c r="G180" s="583"/>
      <c r="H180" s="556"/>
      <c r="I180" s="1800"/>
      <c r="J180" s="1800"/>
      <c r="K180" s="557">
        <f>K181</f>
        <v>300</v>
      </c>
      <c r="L180" s="589">
        <f>L181</f>
        <v>1</v>
      </c>
      <c r="M180" s="567"/>
      <c r="N180" s="562">
        <f>N181</f>
        <v>0</v>
      </c>
      <c r="O180" s="3169">
        <f>IF(Q180&gt;0,N180,"na")</f>
        <v>0</v>
      </c>
      <c r="P180" s="1888">
        <f>P181</f>
        <v>105450000</v>
      </c>
      <c r="Q180" s="1888">
        <f t="shared" ref="Q180:S180" si="70">Q181</f>
        <v>105450000</v>
      </c>
      <c r="R180" s="1888">
        <f t="shared" si="70"/>
        <v>0</v>
      </c>
      <c r="S180" s="1888">
        <f t="shared" si="70"/>
        <v>0</v>
      </c>
      <c r="T180" s="1874">
        <f t="shared" si="62"/>
        <v>0</v>
      </c>
      <c r="U180" s="1874">
        <f t="shared" si="62"/>
        <v>0</v>
      </c>
      <c r="V180" s="1795">
        <v>45448</v>
      </c>
      <c r="W180" s="1795">
        <v>45657</v>
      </c>
      <c r="X180" s="1847"/>
      <c r="Y180" s="2926" t="s">
        <v>2841</v>
      </c>
    </row>
    <row r="181" spans="1:25" ht="79.2">
      <c r="A181" s="2928"/>
      <c r="B181" s="2928"/>
      <c r="C181" s="2928"/>
      <c r="D181" s="3033"/>
      <c r="E181" s="1746" t="s">
        <v>3192</v>
      </c>
      <c r="F181" s="556"/>
      <c r="G181" s="583" t="s">
        <v>3152</v>
      </c>
      <c r="H181" s="556"/>
      <c r="I181" s="1800" t="s">
        <v>3193</v>
      </c>
      <c r="J181" s="1800" t="s">
        <v>120</v>
      </c>
      <c r="K181" s="557">
        <v>300</v>
      </c>
      <c r="L181" s="589">
        <v>1</v>
      </c>
      <c r="M181" s="567">
        <v>0</v>
      </c>
      <c r="N181" s="562">
        <v>0</v>
      </c>
      <c r="O181" s="3169"/>
      <c r="P181" s="1888">
        <v>105450000</v>
      </c>
      <c r="Q181" s="1888">
        <v>105450000</v>
      </c>
      <c r="R181" s="1888">
        <v>0</v>
      </c>
      <c r="S181" s="1888">
        <v>0</v>
      </c>
      <c r="T181" s="1874">
        <f t="shared" si="62"/>
        <v>0</v>
      </c>
      <c r="U181" s="1874">
        <f t="shared" si="62"/>
        <v>0</v>
      </c>
      <c r="V181" s="1795"/>
      <c r="W181" s="1795"/>
      <c r="X181" s="1847"/>
      <c r="Y181" s="2926"/>
    </row>
    <row r="182" spans="1:25">
      <c r="A182" s="2928">
        <v>4148</v>
      </c>
      <c r="B182" s="2928"/>
      <c r="C182" s="2928" t="s">
        <v>123</v>
      </c>
      <c r="D182" s="3033" t="s">
        <v>3194</v>
      </c>
      <c r="E182" s="1746" t="s">
        <v>3195</v>
      </c>
      <c r="F182" s="556"/>
      <c r="G182" s="583"/>
      <c r="H182" s="556"/>
      <c r="I182" s="1800"/>
      <c r="J182" s="1800"/>
      <c r="K182" s="557">
        <f>K183</f>
        <v>100</v>
      </c>
      <c r="L182" s="589">
        <f>L183</f>
        <v>1</v>
      </c>
      <c r="M182" s="567"/>
      <c r="N182" s="562">
        <f>N183</f>
        <v>0</v>
      </c>
      <c r="O182" s="3169">
        <f>IF(Q182&gt;0,N182,"na")</f>
        <v>0</v>
      </c>
      <c r="P182" s="1888">
        <f>P183</f>
        <v>174000000</v>
      </c>
      <c r="Q182" s="1888">
        <f t="shared" ref="Q182:S182" si="71">Q183</f>
        <v>174000000</v>
      </c>
      <c r="R182" s="1888">
        <f t="shared" si="71"/>
        <v>0</v>
      </c>
      <c r="S182" s="1888">
        <f t="shared" si="71"/>
        <v>0</v>
      </c>
      <c r="T182" s="1874">
        <f t="shared" si="62"/>
        <v>0</v>
      </c>
      <c r="U182" s="1874">
        <f t="shared" si="62"/>
        <v>0</v>
      </c>
      <c r="V182" s="1795">
        <v>45448</v>
      </c>
      <c r="W182" s="1795">
        <v>45657</v>
      </c>
      <c r="X182" s="1847"/>
      <c r="Y182" s="2926" t="s">
        <v>2841</v>
      </c>
    </row>
    <row r="183" spans="1:25" ht="79.2">
      <c r="A183" s="2928"/>
      <c r="B183" s="2928"/>
      <c r="C183" s="2928"/>
      <c r="D183" s="3033"/>
      <c r="E183" s="1746" t="s">
        <v>3196</v>
      </c>
      <c r="F183" s="556"/>
      <c r="G183" s="583" t="s">
        <v>3152</v>
      </c>
      <c r="H183" s="556"/>
      <c r="I183" s="1800" t="s">
        <v>3197</v>
      </c>
      <c r="J183" s="1800" t="s">
        <v>120</v>
      </c>
      <c r="K183" s="557">
        <v>100</v>
      </c>
      <c r="L183" s="589">
        <v>1</v>
      </c>
      <c r="M183" s="567">
        <v>0</v>
      </c>
      <c r="N183" s="562">
        <v>0</v>
      </c>
      <c r="O183" s="3169"/>
      <c r="P183" s="1888">
        <v>174000000</v>
      </c>
      <c r="Q183" s="1888">
        <v>174000000</v>
      </c>
      <c r="R183" s="1888">
        <v>0</v>
      </c>
      <c r="S183" s="1888">
        <v>0</v>
      </c>
      <c r="T183" s="1874">
        <f t="shared" si="62"/>
        <v>0</v>
      </c>
      <c r="U183" s="1874">
        <f t="shared" si="62"/>
        <v>0</v>
      </c>
      <c r="V183" s="1795"/>
      <c r="W183" s="1795"/>
      <c r="X183" s="1847"/>
      <c r="Y183" s="2926"/>
    </row>
    <row r="184" spans="1:25">
      <c r="A184" s="2928">
        <v>4148</v>
      </c>
      <c r="B184" s="2928"/>
      <c r="C184" s="2928" t="s">
        <v>123</v>
      </c>
      <c r="D184" s="3033" t="s">
        <v>3198</v>
      </c>
      <c r="E184" s="1746" t="s">
        <v>3199</v>
      </c>
      <c r="F184" s="556"/>
      <c r="G184" s="583"/>
      <c r="H184" s="556"/>
      <c r="I184" s="1800"/>
      <c r="J184" s="1800"/>
      <c r="K184" s="557">
        <f>K185</f>
        <v>400</v>
      </c>
      <c r="L184" s="589">
        <f>L185</f>
        <v>1</v>
      </c>
      <c r="M184" s="567"/>
      <c r="N184" s="562">
        <f>N185</f>
        <v>0</v>
      </c>
      <c r="O184" s="3169">
        <f>IF(Q184&gt;0,N184,"na")</f>
        <v>0</v>
      </c>
      <c r="P184" s="1888">
        <f>P185</f>
        <v>234381992</v>
      </c>
      <c r="Q184" s="1888">
        <f t="shared" ref="Q184:S184" si="72">Q185</f>
        <v>234381992</v>
      </c>
      <c r="R184" s="1888">
        <f t="shared" si="72"/>
        <v>0</v>
      </c>
      <c r="S184" s="1888">
        <f t="shared" si="72"/>
        <v>0</v>
      </c>
      <c r="T184" s="1874">
        <f t="shared" si="62"/>
        <v>0</v>
      </c>
      <c r="U184" s="1874">
        <f t="shared" si="62"/>
        <v>0</v>
      </c>
      <c r="V184" s="1795">
        <v>45448</v>
      </c>
      <c r="W184" s="1795">
        <v>45657</v>
      </c>
      <c r="X184" s="1847"/>
      <c r="Y184" s="2926" t="s">
        <v>2841</v>
      </c>
    </row>
    <row r="185" spans="1:25" ht="79.2">
      <c r="A185" s="2928"/>
      <c r="B185" s="2928"/>
      <c r="C185" s="2928"/>
      <c r="D185" s="3033"/>
      <c r="E185" s="1746" t="s">
        <v>3200</v>
      </c>
      <c r="F185" s="556"/>
      <c r="G185" s="583" t="s">
        <v>3152</v>
      </c>
      <c r="H185" s="556"/>
      <c r="I185" s="1800" t="s">
        <v>3201</v>
      </c>
      <c r="J185" s="1800" t="s">
        <v>120</v>
      </c>
      <c r="K185" s="557">
        <v>400</v>
      </c>
      <c r="L185" s="589">
        <v>1</v>
      </c>
      <c r="M185" s="567">
        <v>0</v>
      </c>
      <c r="N185" s="562">
        <v>0</v>
      </c>
      <c r="O185" s="3169"/>
      <c r="P185" s="1888">
        <v>234381992</v>
      </c>
      <c r="Q185" s="1888">
        <v>234381992</v>
      </c>
      <c r="R185" s="1888">
        <v>0</v>
      </c>
      <c r="S185" s="1888">
        <v>0</v>
      </c>
      <c r="T185" s="1874">
        <f t="shared" si="62"/>
        <v>0</v>
      </c>
      <c r="U185" s="1874">
        <f t="shared" si="62"/>
        <v>0</v>
      </c>
      <c r="V185" s="1795"/>
      <c r="W185" s="1795"/>
      <c r="X185" s="1847"/>
      <c r="Y185" s="2926"/>
    </row>
    <row r="186" spans="1:25">
      <c r="A186" s="2928">
        <v>4148</v>
      </c>
      <c r="B186" s="2928"/>
      <c r="C186" s="2928" t="s">
        <v>123</v>
      </c>
      <c r="D186" s="3033" t="s">
        <v>3202</v>
      </c>
      <c r="E186" s="1746" t="s">
        <v>3203</v>
      </c>
      <c r="F186" s="556"/>
      <c r="G186" s="583"/>
      <c r="H186" s="556"/>
      <c r="I186" s="1800"/>
      <c r="J186" s="1800"/>
      <c r="K186" s="557">
        <f>K187</f>
        <v>150</v>
      </c>
      <c r="L186" s="589">
        <f>L187</f>
        <v>1</v>
      </c>
      <c r="M186" s="567"/>
      <c r="N186" s="562">
        <f>N187</f>
        <v>0</v>
      </c>
      <c r="O186" s="3169">
        <f>IF(Q186&gt;0,N186,"na")</f>
        <v>0</v>
      </c>
      <c r="P186" s="1888">
        <f>P187</f>
        <v>119414605</v>
      </c>
      <c r="Q186" s="1888">
        <f t="shared" ref="Q186:S186" si="73">Q187</f>
        <v>119414605</v>
      </c>
      <c r="R186" s="1888">
        <f t="shared" si="73"/>
        <v>0</v>
      </c>
      <c r="S186" s="1888">
        <f t="shared" si="73"/>
        <v>0</v>
      </c>
      <c r="T186" s="1874">
        <f t="shared" si="62"/>
        <v>0</v>
      </c>
      <c r="U186" s="1874">
        <f t="shared" si="62"/>
        <v>0</v>
      </c>
      <c r="V186" s="1795">
        <v>45448</v>
      </c>
      <c r="W186" s="1795">
        <v>45657</v>
      </c>
      <c r="X186" s="1847"/>
      <c r="Y186" s="2926" t="s">
        <v>2841</v>
      </c>
    </row>
    <row r="187" spans="1:25" ht="79.2">
      <c r="A187" s="2928"/>
      <c r="B187" s="2928"/>
      <c r="C187" s="2928"/>
      <c r="D187" s="3033"/>
      <c r="E187" s="1746" t="s">
        <v>3204</v>
      </c>
      <c r="F187" s="556"/>
      <c r="G187" s="583" t="s">
        <v>3152</v>
      </c>
      <c r="H187" s="556"/>
      <c r="I187" s="1800" t="s">
        <v>3205</v>
      </c>
      <c r="J187" s="1800" t="s">
        <v>120</v>
      </c>
      <c r="K187" s="557">
        <v>150</v>
      </c>
      <c r="L187" s="589">
        <v>1</v>
      </c>
      <c r="M187" s="567">
        <v>0</v>
      </c>
      <c r="N187" s="562">
        <v>0</v>
      </c>
      <c r="O187" s="3169"/>
      <c r="P187" s="1888">
        <v>119414605</v>
      </c>
      <c r="Q187" s="1888">
        <v>119414605</v>
      </c>
      <c r="R187" s="1888">
        <v>0</v>
      </c>
      <c r="S187" s="1888">
        <v>0</v>
      </c>
      <c r="T187" s="1874">
        <f t="shared" si="62"/>
        <v>0</v>
      </c>
      <c r="U187" s="1874">
        <f t="shared" si="62"/>
        <v>0</v>
      </c>
      <c r="V187" s="1795"/>
      <c r="W187" s="1795"/>
      <c r="X187" s="1847"/>
      <c r="Y187" s="2926"/>
    </row>
    <row r="188" spans="1:25">
      <c r="A188" s="2928">
        <v>4148</v>
      </c>
      <c r="B188" s="2928"/>
      <c r="C188" s="2928" t="s">
        <v>123</v>
      </c>
      <c r="D188" s="3033" t="s">
        <v>3206</v>
      </c>
      <c r="E188" s="1746" t="s">
        <v>3207</v>
      </c>
      <c r="F188" s="556"/>
      <c r="G188" s="583"/>
      <c r="H188" s="556"/>
      <c r="I188" s="1800"/>
      <c r="J188" s="1800"/>
      <c r="K188" s="557">
        <f>K189</f>
        <v>140</v>
      </c>
      <c r="L188" s="589">
        <f>L189</f>
        <v>1</v>
      </c>
      <c r="M188" s="567"/>
      <c r="N188" s="562">
        <f>N189</f>
        <v>0</v>
      </c>
      <c r="O188" s="3169">
        <f>IF(Q188&gt;0,N188,"na")</f>
        <v>0</v>
      </c>
      <c r="P188" s="1888">
        <f>P189</f>
        <v>129038171</v>
      </c>
      <c r="Q188" s="1888">
        <f t="shared" ref="Q188:S188" si="74">Q189</f>
        <v>129038171</v>
      </c>
      <c r="R188" s="1888">
        <f t="shared" si="74"/>
        <v>0</v>
      </c>
      <c r="S188" s="1888">
        <f t="shared" si="74"/>
        <v>0</v>
      </c>
      <c r="T188" s="1874">
        <f t="shared" si="62"/>
        <v>0</v>
      </c>
      <c r="U188" s="1874">
        <f t="shared" si="62"/>
        <v>0</v>
      </c>
      <c r="V188" s="1795">
        <v>45448</v>
      </c>
      <c r="W188" s="1795">
        <v>45657</v>
      </c>
      <c r="X188" s="1847"/>
      <c r="Y188" s="2926" t="s">
        <v>2841</v>
      </c>
    </row>
    <row r="189" spans="1:25" ht="79.2">
      <c r="A189" s="2928"/>
      <c r="B189" s="2928"/>
      <c r="C189" s="2928"/>
      <c r="D189" s="3033"/>
      <c r="E189" s="1746" t="s">
        <v>3208</v>
      </c>
      <c r="F189" s="556"/>
      <c r="G189" s="583" t="s">
        <v>3152</v>
      </c>
      <c r="H189" s="556"/>
      <c r="I189" s="1800" t="s">
        <v>3209</v>
      </c>
      <c r="J189" s="1800" t="s">
        <v>120</v>
      </c>
      <c r="K189" s="557">
        <v>140</v>
      </c>
      <c r="L189" s="589">
        <v>1</v>
      </c>
      <c r="M189" s="567">
        <v>0</v>
      </c>
      <c r="N189" s="562">
        <v>0</v>
      </c>
      <c r="O189" s="3169"/>
      <c r="P189" s="1888">
        <v>129038171</v>
      </c>
      <c r="Q189" s="1888">
        <v>129038171</v>
      </c>
      <c r="R189" s="1888">
        <v>0</v>
      </c>
      <c r="S189" s="1888">
        <v>0</v>
      </c>
      <c r="T189" s="1874">
        <f t="shared" si="62"/>
        <v>0</v>
      </c>
      <c r="U189" s="1874">
        <f t="shared" si="62"/>
        <v>0</v>
      </c>
      <c r="V189" s="1795"/>
      <c r="W189" s="1795"/>
      <c r="X189" s="1847"/>
      <c r="Y189" s="2926"/>
    </row>
    <row r="190" spans="1:25">
      <c r="A190" s="2928">
        <v>4148</v>
      </c>
      <c r="B190" s="2928"/>
      <c r="C190" s="2928" t="s">
        <v>123</v>
      </c>
      <c r="D190" s="3033" t="s">
        <v>3210</v>
      </c>
      <c r="E190" s="1746" t="s">
        <v>3211</v>
      </c>
      <c r="F190" s="556"/>
      <c r="G190" s="583"/>
      <c r="H190" s="556"/>
      <c r="I190" s="1800"/>
      <c r="J190" s="1800"/>
      <c r="K190" s="557">
        <f>K191</f>
        <v>230</v>
      </c>
      <c r="L190" s="589">
        <f>L191</f>
        <v>1</v>
      </c>
      <c r="M190" s="567"/>
      <c r="N190" s="562">
        <f>N191</f>
        <v>0</v>
      </c>
      <c r="O190" s="3169">
        <f>IF(Q190&gt;0,N190,"na")</f>
        <v>0</v>
      </c>
      <c r="P190" s="1888">
        <f>P191</f>
        <v>121124531</v>
      </c>
      <c r="Q190" s="1888">
        <f t="shared" ref="Q190:S190" si="75">Q191</f>
        <v>121124531</v>
      </c>
      <c r="R190" s="1888">
        <f t="shared" si="75"/>
        <v>0</v>
      </c>
      <c r="S190" s="1888">
        <f t="shared" si="75"/>
        <v>0</v>
      </c>
      <c r="T190" s="1874">
        <f t="shared" si="62"/>
        <v>0</v>
      </c>
      <c r="U190" s="1874">
        <f t="shared" si="62"/>
        <v>0</v>
      </c>
      <c r="V190" s="1795">
        <v>45448</v>
      </c>
      <c r="W190" s="1795">
        <v>45657</v>
      </c>
      <c r="X190" s="1847"/>
      <c r="Y190" s="2926" t="s">
        <v>2841</v>
      </c>
    </row>
    <row r="191" spans="1:25" ht="79.2">
      <c r="A191" s="2928"/>
      <c r="B191" s="2928"/>
      <c r="C191" s="2928"/>
      <c r="D191" s="3033"/>
      <c r="E191" s="1746" t="s">
        <v>3212</v>
      </c>
      <c r="F191" s="556"/>
      <c r="G191" s="583" t="s">
        <v>3152</v>
      </c>
      <c r="H191" s="556"/>
      <c r="I191" s="1800" t="s">
        <v>3213</v>
      </c>
      <c r="J191" s="1800" t="s">
        <v>120</v>
      </c>
      <c r="K191" s="557">
        <v>230</v>
      </c>
      <c r="L191" s="589">
        <v>1</v>
      </c>
      <c r="M191" s="567">
        <v>0</v>
      </c>
      <c r="N191" s="562">
        <v>0</v>
      </c>
      <c r="O191" s="3169"/>
      <c r="P191" s="1888">
        <v>121124531</v>
      </c>
      <c r="Q191" s="1888">
        <v>121124531</v>
      </c>
      <c r="R191" s="1888">
        <v>0</v>
      </c>
      <c r="S191" s="1888">
        <v>0</v>
      </c>
      <c r="T191" s="1874">
        <f t="shared" si="62"/>
        <v>0</v>
      </c>
      <c r="U191" s="1874">
        <f t="shared" si="62"/>
        <v>0</v>
      </c>
      <c r="V191" s="1795"/>
      <c r="W191" s="1795"/>
      <c r="X191" s="1847"/>
      <c r="Y191" s="2926"/>
    </row>
    <row r="192" spans="1:25">
      <c r="A192" s="2928">
        <v>4148</v>
      </c>
      <c r="B192" s="2928"/>
      <c r="C192" s="2928" t="s">
        <v>123</v>
      </c>
      <c r="D192" s="3033" t="s">
        <v>3214</v>
      </c>
      <c r="E192" s="1746" t="s">
        <v>3215</v>
      </c>
      <c r="F192" s="556"/>
      <c r="G192" s="583"/>
      <c r="H192" s="556"/>
      <c r="I192" s="1800"/>
      <c r="J192" s="1800"/>
      <c r="K192" s="557">
        <f>K193</f>
        <v>390</v>
      </c>
      <c r="L192" s="589">
        <f>L193</f>
        <v>1</v>
      </c>
      <c r="M192" s="567"/>
      <c r="N192" s="562">
        <f>N193</f>
        <v>0</v>
      </c>
      <c r="O192" s="3169">
        <f>IF(Q192&gt;0,N192,"na")</f>
        <v>0</v>
      </c>
      <c r="P192" s="1888">
        <f>P193</f>
        <v>277198530</v>
      </c>
      <c r="Q192" s="1888">
        <f t="shared" ref="Q192:S192" si="76">Q193</f>
        <v>277198530</v>
      </c>
      <c r="R192" s="1888">
        <f t="shared" si="76"/>
        <v>0</v>
      </c>
      <c r="S192" s="1888">
        <f t="shared" si="76"/>
        <v>0</v>
      </c>
      <c r="T192" s="1874">
        <f t="shared" si="62"/>
        <v>0</v>
      </c>
      <c r="U192" s="1874">
        <f t="shared" si="62"/>
        <v>0</v>
      </c>
      <c r="V192" s="1795">
        <v>45448</v>
      </c>
      <c r="W192" s="1795">
        <v>45657</v>
      </c>
      <c r="X192" s="1847"/>
      <c r="Y192" s="2926" t="s">
        <v>2841</v>
      </c>
    </row>
    <row r="193" spans="1:25" ht="79.2">
      <c r="A193" s="2928"/>
      <c r="B193" s="2928"/>
      <c r="C193" s="2928"/>
      <c r="D193" s="3033"/>
      <c r="E193" s="1746" t="s">
        <v>3216</v>
      </c>
      <c r="F193" s="556"/>
      <c r="G193" s="583" t="s">
        <v>3152</v>
      </c>
      <c r="H193" s="556"/>
      <c r="I193" s="1800" t="s">
        <v>3217</v>
      </c>
      <c r="J193" s="1800" t="s">
        <v>120</v>
      </c>
      <c r="K193" s="557">
        <v>390</v>
      </c>
      <c r="L193" s="589">
        <v>1</v>
      </c>
      <c r="M193" s="567">
        <v>0</v>
      </c>
      <c r="N193" s="562">
        <v>0</v>
      </c>
      <c r="O193" s="3169"/>
      <c r="P193" s="1888">
        <v>277198530</v>
      </c>
      <c r="Q193" s="1888">
        <v>277198530</v>
      </c>
      <c r="R193" s="1888">
        <v>0</v>
      </c>
      <c r="S193" s="1888">
        <v>0</v>
      </c>
      <c r="T193" s="1874">
        <f t="shared" si="62"/>
        <v>0</v>
      </c>
      <c r="U193" s="1874">
        <f t="shared" si="62"/>
        <v>0</v>
      </c>
      <c r="V193" s="1795"/>
      <c r="W193" s="1795"/>
      <c r="X193" s="1847"/>
      <c r="Y193" s="2926"/>
    </row>
    <row r="194" spans="1:25">
      <c r="A194" s="2928">
        <v>4148</v>
      </c>
      <c r="B194" s="2928"/>
      <c r="C194" s="2928" t="s">
        <v>123</v>
      </c>
      <c r="D194" s="3033" t="s">
        <v>3218</v>
      </c>
      <c r="E194" s="1746" t="s">
        <v>3219</v>
      </c>
      <c r="F194" s="556"/>
      <c r="G194" s="583"/>
      <c r="H194" s="556"/>
      <c r="I194" s="1800"/>
      <c r="J194" s="1800"/>
      <c r="K194" s="557">
        <f>K195</f>
        <v>758</v>
      </c>
      <c r="L194" s="589">
        <f>L195</f>
        <v>1</v>
      </c>
      <c r="M194" s="567"/>
      <c r="N194" s="562">
        <f>N195</f>
        <v>0</v>
      </c>
      <c r="O194" s="3169">
        <f>IF(Q194&gt;0,N194,"na")</f>
        <v>0</v>
      </c>
      <c r="P194" s="1888">
        <f>P195</f>
        <v>415047615</v>
      </c>
      <c r="Q194" s="1888">
        <f t="shared" ref="Q194:S194" si="77">Q195</f>
        <v>415047615</v>
      </c>
      <c r="R194" s="1888">
        <f t="shared" si="77"/>
        <v>0</v>
      </c>
      <c r="S194" s="1888">
        <f t="shared" si="77"/>
        <v>0</v>
      </c>
      <c r="T194" s="1874">
        <f t="shared" si="62"/>
        <v>0</v>
      </c>
      <c r="U194" s="1874">
        <f t="shared" si="62"/>
        <v>0</v>
      </c>
      <c r="V194" s="1795">
        <v>45448</v>
      </c>
      <c r="W194" s="1795">
        <v>45657</v>
      </c>
      <c r="X194" s="1847"/>
      <c r="Y194" s="2926" t="s">
        <v>2841</v>
      </c>
    </row>
    <row r="195" spans="1:25" ht="79.2">
      <c r="A195" s="2928"/>
      <c r="B195" s="2928"/>
      <c r="C195" s="2928"/>
      <c r="D195" s="3033"/>
      <c r="E195" s="1746" t="s">
        <v>3220</v>
      </c>
      <c r="F195" s="556"/>
      <c r="G195" s="583" t="s">
        <v>3152</v>
      </c>
      <c r="H195" s="556"/>
      <c r="I195" s="1800" t="s">
        <v>3221</v>
      </c>
      <c r="J195" s="1800" t="s">
        <v>120</v>
      </c>
      <c r="K195" s="557">
        <v>758</v>
      </c>
      <c r="L195" s="589">
        <v>1</v>
      </c>
      <c r="M195" s="567">
        <v>0</v>
      </c>
      <c r="N195" s="562">
        <v>0</v>
      </c>
      <c r="O195" s="3169"/>
      <c r="P195" s="1888">
        <v>415047615</v>
      </c>
      <c r="Q195" s="1888">
        <v>415047615</v>
      </c>
      <c r="R195" s="1888">
        <v>0</v>
      </c>
      <c r="S195" s="1888">
        <v>0</v>
      </c>
      <c r="T195" s="1874">
        <f t="shared" si="62"/>
        <v>0</v>
      </c>
      <c r="U195" s="1874">
        <f t="shared" si="62"/>
        <v>0</v>
      </c>
      <c r="V195" s="1795"/>
      <c r="W195" s="1795"/>
      <c r="X195" s="1847"/>
      <c r="Y195" s="2926"/>
    </row>
    <row r="196" spans="1:25">
      <c r="A196" s="2928">
        <v>4148</v>
      </c>
      <c r="B196" s="2928"/>
      <c r="C196" s="2928" t="s">
        <v>123</v>
      </c>
      <c r="D196" s="3033" t="s">
        <v>3222</v>
      </c>
      <c r="E196" s="1746" t="s">
        <v>3223</v>
      </c>
      <c r="F196" s="556"/>
      <c r="G196" s="583"/>
      <c r="H196" s="556"/>
      <c r="I196" s="1800"/>
      <c r="J196" s="1800"/>
      <c r="K196" s="557">
        <f>K197</f>
        <v>420</v>
      </c>
      <c r="L196" s="589">
        <f>L197</f>
        <v>1</v>
      </c>
      <c r="M196" s="567"/>
      <c r="N196" s="562">
        <f>N197</f>
        <v>0</v>
      </c>
      <c r="O196" s="3169">
        <f>IF(Q196&gt;0,N196,"na")</f>
        <v>0</v>
      </c>
      <c r="P196" s="1888">
        <f>P197</f>
        <v>223000000</v>
      </c>
      <c r="Q196" s="1888">
        <f t="shared" ref="Q196:S196" si="78">Q197</f>
        <v>223000000</v>
      </c>
      <c r="R196" s="1888">
        <f t="shared" si="78"/>
        <v>0</v>
      </c>
      <c r="S196" s="1888">
        <f t="shared" si="78"/>
        <v>0</v>
      </c>
      <c r="T196" s="1874">
        <f t="shared" si="62"/>
        <v>0</v>
      </c>
      <c r="U196" s="1874">
        <f t="shared" si="62"/>
        <v>0</v>
      </c>
      <c r="V196" s="1795">
        <v>45448</v>
      </c>
      <c r="W196" s="1795">
        <v>45657</v>
      </c>
      <c r="X196" s="1847"/>
      <c r="Y196" s="2926" t="s">
        <v>2841</v>
      </c>
    </row>
    <row r="197" spans="1:25" ht="79.2">
      <c r="A197" s="2928"/>
      <c r="B197" s="2928"/>
      <c r="C197" s="2928"/>
      <c r="D197" s="3033"/>
      <c r="E197" s="1746" t="s">
        <v>3224</v>
      </c>
      <c r="F197" s="556"/>
      <c r="G197" s="583" t="s">
        <v>3152</v>
      </c>
      <c r="H197" s="556"/>
      <c r="I197" s="1800" t="s">
        <v>3225</v>
      </c>
      <c r="J197" s="1800" t="s">
        <v>120</v>
      </c>
      <c r="K197" s="557">
        <v>420</v>
      </c>
      <c r="L197" s="589">
        <v>1</v>
      </c>
      <c r="M197" s="567">
        <v>0</v>
      </c>
      <c r="N197" s="562">
        <v>0</v>
      </c>
      <c r="O197" s="3169"/>
      <c r="P197" s="1888">
        <v>223000000</v>
      </c>
      <c r="Q197" s="1888">
        <v>223000000</v>
      </c>
      <c r="R197" s="1888">
        <v>0</v>
      </c>
      <c r="S197" s="1888">
        <v>0</v>
      </c>
      <c r="T197" s="1874">
        <f t="shared" si="62"/>
        <v>0</v>
      </c>
      <c r="U197" s="1874">
        <f t="shared" si="62"/>
        <v>0</v>
      </c>
      <c r="V197" s="1795"/>
      <c r="W197" s="1795"/>
      <c r="X197" s="1847"/>
      <c r="Y197" s="2926"/>
    </row>
    <row r="198" spans="1:25" ht="27.6">
      <c r="A198" s="555"/>
      <c r="B198" s="222">
        <v>52050020002</v>
      </c>
      <c r="C198" s="222" t="s">
        <v>117</v>
      </c>
      <c r="D198" s="217" t="s">
        <v>3226</v>
      </c>
      <c r="E198" s="549"/>
      <c r="F198" s="556"/>
      <c r="G198" s="583"/>
      <c r="H198" s="556"/>
      <c r="I198" s="1800"/>
      <c r="J198" s="1800"/>
      <c r="K198" s="812">
        <f>K199+K202+K204+K206+K209</f>
        <v>72</v>
      </c>
      <c r="L198" s="589"/>
      <c r="M198" s="567"/>
      <c r="N198" s="562"/>
      <c r="O198" s="562"/>
      <c r="P198" s="557"/>
      <c r="Q198" s="557"/>
      <c r="R198" s="557"/>
      <c r="S198" s="557"/>
      <c r="T198" s="562"/>
      <c r="U198" s="562"/>
      <c r="V198" s="1795"/>
      <c r="W198" s="1795"/>
      <c r="X198" s="1800"/>
      <c r="Y198" s="555"/>
    </row>
    <row r="199" spans="1:25">
      <c r="A199" s="2928">
        <v>4148</v>
      </c>
      <c r="B199" s="2928"/>
      <c r="C199" s="2928" t="s">
        <v>123</v>
      </c>
      <c r="D199" s="3033" t="s">
        <v>3227</v>
      </c>
      <c r="E199" s="1746" t="s">
        <v>3228</v>
      </c>
      <c r="F199" s="556"/>
      <c r="G199" s="583"/>
      <c r="H199" s="556"/>
      <c r="I199" s="1800"/>
      <c r="J199" s="1800"/>
      <c r="K199" s="557">
        <f>K201</f>
        <v>13</v>
      </c>
      <c r="L199" s="589">
        <f>SUM(L200:L201)</f>
        <v>1</v>
      </c>
      <c r="M199" s="567"/>
      <c r="N199" s="562">
        <f>SUM(N200:N201)</f>
        <v>7.0000000000000007E-2</v>
      </c>
      <c r="O199" s="3169">
        <f>IF(Q199&gt;0,N199,"na")</f>
        <v>7.0000000000000007E-2</v>
      </c>
      <c r="P199" s="1888">
        <f>SUM(P200:P201)</f>
        <v>1763251962</v>
      </c>
      <c r="Q199" s="1888">
        <f t="shared" ref="Q199:S199" si="79">SUM(Q200:Q201)</f>
        <v>1763251962</v>
      </c>
      <c r="R199" s="1888">
        <f t="shared" si="79"/>
        <v>69431000</v>
      </c>
      <c r="S199" s="1888">
        <f t="shared" si="79"/>
        <v>30835000</v>
      </c>
      <c r="T199" s="1874">
        <f t="shared" ref="T199:U220" si="80">IF(Q199=0,0,R199/Q199)</f>
        <v>3.9376675311477691E-2</v>
      </c>
      <c r="U199" s="1874">
        <f t="shared" si="80"/>
        <v>0.44410997969206839</v>
      </c>
      <c r="V199" s="1795"/>
      <c r="W199" s="1795"/>
      <c r="X199" s="1847"/>
      <c r="Y199" s="2926" t="s">
        <v>2841</v>
      </c>
    </row>
    <row r="200" spans="1:25" ht="39.6">
      <c r="A200" s="2928"/>
      <c r="B200" s="2928"/>
      <c r="C200" s="2928"/>
      <c r="D200" s="3033"/>
      <c r="E200" s="549" t="s">
        <v>3229</v>
      </c>
      <c r="F200" s="556"/>
      <c r="G200" s="583"/>
      <c r="H200" s="556"/>
      <c r="I200" s="583" t="s">
        <v>3230</v>
      </c>
      <c r="J200" s="583" t="s">
        <v>124</v>
      </c>
      <c r="K200" s="557">
        <v>1</v>
      </c>
      <c r="L200" s="589">
        <v>0.1</v>
      </c>
      <c r="M200" s="567">
        <v>0</v>
      </c>
      <c r="N200" s="562">
        <v>0</v>
      </c>
      <c r="O200" s="3169"/>
      <c r="P200" s="1888">
        <v>10000000</v>
      </c>
      <c r="Q200" s="1888">
        <v>10000000</v>
      </c>
      <c r="R200" s="1888">
        <v>0</v>
      </c>
      <c r="S200" s="1888">
        <v>0</v>
      </c>
      <c r="T200" s="1874">
        <f t="shared" si="80"/>
        <v>0</v>
      </c>
      <c r="U200" s="1874">
        <f t="shared" si="80"/>
        <v>0</v>
      </c>
      <c r="V200" s="1795"/>
      <c r="W200" s="1795"/>
      <c r="X200" s="1800"/>
      <c r="Y200" s="2926"/>
    </row>
    <row r="201" spans="1:25" ht="105.6">
      <c r="A201" s="2928"/>
      <c r="B201" s="2928"/>
      <c r="C201" s="2928"/>
      <c r="D201" s="3033"/>
      <c r="E201" s="549" t="s">
        <v>3231</v>
      </c>
      <c r="F201" s="556"/>
      <c r="G201" s="583" t="s">
        <v>3226</v>
      </c>
      <c r="H201" s="556"/>
      <c r="I201" s="583" t="s">
        <v>3232</v>
      </c>
      <c r="J201" s="583" t="s">
        <v>2885</v>
      </c>
      <c r="K201" s="557">
        <v>13</v>
      </c>
      <c r="L201" s="589">
        <v>0.9</v>
      </c>
      <c r="M201" s="567">
        <v>0</v>
      </c>
      <c r="N201" s="562">
        <v>7.0000000000000007E-2</v>
      </c>
      <c r="O201" s="3169"/>
      <c r="P201" s="1888">
        <v>1753251962</v>
      </c>
      <c r="Q201" s="1888">
        <v>1753251962</v>
      </c>
      <c r="R201" s="1888">
        <v>69431000</v>
      </c>
      <c r="S201" s="1888">
        <v>30835000</v>
      </c>
      <c r="T201" s="1874">
        <f t="shared" si="80"/>
        <v>3.9601267533046117E-2</v>
      </c>
      <c r="U201" s="1874">
        <f t="shared" si="80"/>
        <v>0.44410997969206839</v>
      </c>
      <c r="V201" s="1795">
        <v>45323</v>
      </c>
      <c r="W201" s="1795">
        <v>45412</v>
      </c>
      <c r="X201" s="1862" t="s">
        <v>3233</v>
      </c>
      <c r="Y201" s="2926"/>
    </row>
    <row r="202" spans="1:25">
      <c r="A202" s="2928">
        <v>4148</v>
      </c>
      <c r="B202" s="2928"/>
      <c r="C202" s="2928" t="s">
        <v>123</v>
      </c>
      <c r="D202" s="3033" t="s">
        <v>3234</v>
      </c>
      <c r="E202" s="1746" t="s">
        <v>3235</v>
      </c>
      <c r="F202" s="556"/>
      <c r="G202" s="583"/>
      <c r="H202" s="556"/>
      <c r="I202" s="1800"/>
      <c r="J202" s="583"/>
      <c r="K202" s="557">
        <f>K203</f>
        <v>7</v>
      </c>
      <c r="L202" s="589">
        <f>L203</f>
        <v>1</v>
      </c>
      <c r="M202" s="567"/>
      <c r="N202" s="562">
        <f>N203</f>
        <v>0</v>
      </c>
      <c r="O202" s="3169">
        <f>IF(Q202&gt;0,N202,"na")</f>
        <v>0</v>
      </c>
      <c r="P202" s="1888">
        <f>P203</f>
        <v>1156189581</v>
      </c>
      <c r="Q202" s="1888">
        <f t="shared" ref="Q202:S202" si="81">Q203</f>
        <v>1156189581</v>
      </c>
      <c r="R202" s="1888">
        <f t="shared" si="81"/>
        <v>0</v>
      </c>
      <c r="S202" s="1888">
        <f t="shared" si="81"/>
        <v>0</v>
      </c>
      <c r="T202" s="1874">
        <f t="shared" si="80"/>
        <v>0</v>
      </c>
      <c r="U202" s="1874">
        <f t="shared" si="80"/>
        <v>0</v>
      </c>
      <c r="V202" s="1795">
        <v>45448</v>
      </c>
      <c r="W202" s="1795">
        <v>45657</v>
      </c>
      <c r="X202" s="1847"/>
      <c r="Y202" s="2926" t="s">
        <v>2841</v>
      </c>
    </row>
    <row r="203" spans="1:25" ht="92.4">
      <c r="A203" s="2928"/>
      <c r="B203" s="2928"/>
      <c r="C203" s="2928"/>
      <c r="D203" s="3033"/>
      <c r="E203" s="1746" t="s">
        <v>3236</v>
      </c>
      <c r="F203" s="556"/>
      <c r="G203" s="583" t="s">
        <v>3226</v>
      </c>
      <c r="H203" s="556"/>
      <c r="I203" s="1800" t="s">
        <v>3237</v>
      </c>
      <c r="J203" s="1800" t="s">
        <v>2906</v>
      </c>
      <c r="K203" s="557">
        <v>7</v>
      </c>
      <c r="L203" s="589">
        <v>1</v>
      </c>
      <c r="M203" s="567">
        <v>0</v>
      </c>
      <c r="N203" s="562">
        <v>0</v>
      </c>
      <c r="O203" s="3169"/>
      <c r="P203" s="1888">
        <v>1156189581</v>
      </c>
      <c r="Q203" s="1888">
        <v>1156189581</v>
      </c>
      <c r="R203" s="1888">
        <v>0</v>
      </c>
      <c r="S203" s="1888">
        <v>0</v>
      </c>
      <c r="T203" s="1874">
        <f t="shared" si="80"/>
        <v>0</v>
      </c>
      <c r="U203" s="1874">
        <f t="shared" si="80"/>
        <v>0</v>
      </c>
      <c r="V203" s="1795"/>
      <c r="W203" s="1795"/>
      <c r="X203" s="1862"/>
      <c r="Y203" s="2926"/>
    </row>
    <row r="204" spans="1:25">
      <c r="A204" s="2928">
        <v>4148</v>
      </c>
      <c r="B204" s="2928"/>
      <c r="C204" s="2928" t="s">
        <v>123</v>
      </c>
      <c r="D204" s="3033" t="s">
        <v>3238</v>
      </c>
      <c r="E204" s="1746" t="s">
        <v>3239</v>
      </c>
      <c r="F204" s="556"/>
      <c r="G204" s="583"/>
      <c r="H204" s="556"/>
      <c r="I204" s="1800"/>
      <c r="J204" s="1800"/>
      <c r="K204" s="557">
        <f>K205</f>
        <v>12</v>
      </c>
      <c r="L204" s="589">
        <f>L205</f>
        <v>1</v>
      </c>
      <c r="M204" s="567"/>
      <c r="N204" s="562">
        <f>N205</f>
        <v>0</v>
      </c>
      <c r="O204" s="3169">
        <f>IF(Q204&gt;0,N204,"na")</f>
        <v>0</v>
      </c>
      <c r="P204" s="1888">
        <f>P205</f>
        <v>154779388</v>
      </c>
      <c r="Q204" s="1888">
        <f t="shared" ref="Q204:S204" si="82">Q205</f>
        <v>154779388</v>
      </c>
      <c r="R204" s="1888">
        <f t="shared" si="82"/>
        <v>0</v>
      </c>
      <c r="S204" s="1888">
        <f t="shared" si="82"/>
        <v>0</v>
      </c>
      <c r="T204" s="1874">
        <f t="shared" si="80"/>
        <v>0</v>
      </c>
      <c r="U204" s="1874">
        <f t="shared" si="80"/>
        <v>0</v>
      </c>
      <c r="V204" s="1795">
        <v>45448</v>
      </c>
      <c r="W204" s="1795">
        <v>45657</v>
      </c>
      <c r="X204" s="1847"/>
      <c r="Y204" s="2926" t="s">
        <v>2841</v>
      </c>
    </row>
    <row r="205" spans="1:25" ht="92.4">
      <c r="A205" s="2928"/>
      <c r="B205" s="2928"/>
      <c r="C205" s="2928"/>
      <c r="D205" s="3033"/>
      <c r="E205" s="1746" t="s">
        <v>3240</v>
      </c>
      <c r="F205" s="556"/>
      <c r="G205" s="583" t="s">
        <v>3226</v>
      </c>
      <c r="H205" s="556"/>
      <c r="I205" s="1800" t="s">
        <v>3241</v>
      </c>
      <c r="J205" s="583" t="s">
        <v>2954</v>
      </c>
      <c r="K205" s="557">
        <v>12</v>
      </c>
      <c r="L205" s="589">
        <v>1</v>
      </c>
      <c r="M205" s="567">
        <v>0</v>
      </c>
      <c r="N205" s="562">
        <v>0</v>
      </c>
      <c r="O205" s="3169"/>
      <c r="P205" s="1888">
        <v>154779388</v>
      </c>
      <c r="Q205" s="1888">
        <v>154779388</v>
      </c>
      <c r="R205" s="1888">
        <v>0</v>
      </c>
      <c r="S205" s="1888">
        <v>0</v>
      </c>
      <c r="T205" s="1874">
        <f t="shared" si="80"/>
        <v>0</v>
      </c>
      <c r="U205" s="1874">
        <f t="shared" si="80"/>
        <v>0</v>
      </c>
      <c r="V205" s="1795"/>
      <c r="W205" s="1795"/>
      <c r="X205" s="1847"/>
      <c r="Y205" s="2926"/>
    </row>
    <row r="206" spans="1:25">
      <c r="A206" s="2928">
        <v>4148</v>
      </c>
      <c r="B206" s="2928"/>
      <c r="C206" s="2928" t="s">
        <v>123</v>
      </c>
      <c r="D206" s="3033" t="s">
        <v>3242</v>
      </c>
      <c r="E206" s="1746" t="s">
        <v>3243</v>
      </c>
      <c r="F206" s="556"/>
      <c r="G206" s="583"/>
      <c r="H206" s="556"/>
      <c r="I206" s="1800"/>
      <c r="J206" s="1800"/>
      <c r="K206" s="557">
        <f>K208</f>
        <v>33</v>
      </c>
      <c r="L206" s="589">
        <f>SUM(L207:L208)</f>
        <v>1</v>
      </c>
      <c r="M206" s="567"/>
      <c r="N206" s="562">
        <f>SUM(N207:N208)</f>
        <v>0.05</v>
      </c>
      <c r="O206" s="3169">
        <f>IF(Q206&gt;0,N206,"na")</f>
        <v>0.05</v>
      </c>
      <c r="P206" s="1888">
        <f>SUM(P207:P208)</f>
        <v>7014210092</v>
      </c>
      <c r="Q206" s="1888">
        <f t="shared" ref="Q206:S206" si="83">SUM(Q207:Q208)</f>
        <v>6323333616</v>
      </c>
      <c r="R206" s="1888">
        <f t="shared" si="83"/>
        <v>159639500</v>
      </c>
      <c r="S206" s="1888">
        <f t="shared" si="83"/>
        <v>99103500</v>
      </c>
      <c r="T206" s="1874">
        <f t="shared" si="80"/>
        <v>2.5246097975293036E-2</v>
      </c>
      <c r="U206" s="1874">
        <f t="shared" si="80"/>
        <v>0.62079560509773579</v>
      </c>
      <c r="V206" s="1795"/>
      <c r="W206" s="1795"/>
      <c r="X206" s="1847"/>
      <c r="Y206" s="2926" t="s">
        <v>2841</v>
      </c>
    </row>
    <row r="207" spans="1:25" ht="184.8">
      <c r="A207" s="2928"/>
      <c r="B207" s="2928"/>
      <c r="C207" s="2928"/>
      <c r="D207" s="3033"/>
      <c r="E207" s="549" t="s">
        <v>3244</v>
      </c>
      <c r="F207" s="556"/>
      <c r="G207" s="583"/>
      <c r="H207" s="556"/>
      <c r="I207" s="583" t="s">
        <v>3245</v>
      </c>
      <c r="J207" s="583" t="s">
        <v>121</v>
      </c>
      <c r="K207" s="557">
        <v>1</v>
      </c>
      <c r="L207" s="589">
        <v>0.2</v>
      </c>
      <c r="M207" s="567">
        <v>1</v>
      </c>
      <c r="N207" s="562">
        <v>0.05</v>
      </c>
      <c r="O207" s="3169"/>
      <c r="P207" s="1888">
        <v>626656200</v>
      </c>
      <c r="Q207" s="1888">
        <v>626656200</v>
      </c>
      <c r="R207" s="1888">
        <v>159639500</v>
      </c>
      <c r="S207" s="1888">
        <v>99103500</v>
      </c>
      <c r="T207" s="1874">
        <f t="shared" si="80"/>
        <v>0.25474813781464223</v>
      </c>
      <c r="U207" s="1874">
        <f t="shared" si="80"/>
        <v>0.62079560509773579</v>
      </c>
      <c r="V207" s="1817" t="s">
        <v>3246</v>
      </c>
      <c r="W207" s="1817">
        <v>45412</v>
      </c>
      <c r="X207" s="1861" t="s">
        <v>3247</v>
      </c>
      <c r="Y207" s="2926"/>
    </row>
    <row r="208" spans="1:25" ht="92.4">
      <c r="A208" s="2928"/>
      <c r="B208" s="2928"/>
      <c r="C208" s="2928"/>
      <c r="D208" s="3033"/>
      <c r="E208" s="549" t="s">
        <v>3248</v>
      </c>
      <c r="F208" s="556"/>
      <c r="G208" s="1814" t="s">
        <v>3226</v>
      </c>
      <c r="H208" s="556"/>
      <c r="I208" s="583" t="s">
        <v>3249</v>
      </c>
      <c r="J208" s="583" t="s">
        <v>2856</v>
      </c>
      <c r="K208" s="557">
        <v>33</v>
      </c>
      <c r="L208" s="589">
        <v>0.8</v>
      </c>
      <c r="M208" s="567">
        <v>0</v>
      </c>
      <c r="N208" s="562">
        <v>0</v>
      </c>
      <c r="O208" s="3169"/>
      <c r="P208" s="1888">
        <v>6387553892</v>
      </c>
      <c r="Q208" s="1888">
        <v>5696677416</v>
      </c>
      <c r="R208" s="1888">
        <v>0</v>
      </c>
      <c r="S208" s="1888">
        <v>0</v>
      </c>
      <c r="T208" s="1874">
        <f t="shared" si="80"/>
        <v>0</v>
      </c>
      <c r="U208" s="1874">
        <f t="shared" si="80"/>
        <v>0</v>
      </c>
      <c r="V208" s="1795"/>
      <c r="W208" s="1795"/>
      <c r="X208" s="1861"/>
      <c r="Y208" s="2926"/>
    </row>
    <row r="209" spans="1:25">
      <c r="A209" s="2928">
        <v>4148</v>
      </c>
      <c r="B209" s="2928"/>
      <c r="C209" s="2928" t="s">
        <v>123</v>
      </c>
      <c r="D209" s="3033" t="s">
        <v>3250</v>
      </c>
      <c r="E209" s="1746" t="s">
        <v>3251</v>
      </c>
      <c r="F209" s="556"/>
      <c r="G209" s="583"/>
      <c r="H209" s="556"/>
      <c r="I209" s="1800"/>
      <c r="J209" s="1800"/>
      <c r="K209" s="557">
        <f>K210</f>
        <v>7</v>
      </c>
      <c r="L209" s="589">
        <f>L210</f>
        <v>1</v>
      </c>
      <c r="M209" s="567"/>
      <c r="N209" s="562">
        <f>N210</f>
        <v>0</v>
      </c>
      <c r="O209" s="3169">
        <f>IF(Q209&gt;0,N209,"na")</f>
        <v>0</v>
      </c>
      <c r="P209" s="1888">
        <f>P210</f>
        <v>411425634</v>
      </c>
      <c r="Q209" s="1888">
        <f t="shared" ref="Q209:S209" si="84">Q210</f>
        <v>411425634</v>
      </c>
      <c r="R209" s="1888">
        <f t="shared" si="84"/>
        <v>0</v>
      </c>
      <c r="S209" s="1888">
        <f t="shared" si="84"/>
        <v>0</v>
      </c>
      <c r="T209" s="1874">
        <f t="shared" si="80"/>
        <v>0</v>
      </c>
      <c r="U209" s="1874">
        <f t="shared" si="80"/>
        <v>0</v>
      </c>
      <c r="V209" s="1795">
        <v>45448</v>
      </c>
      <c r="W209" s="1795">
        <v>45657</v>
      </c>
      <c r="X209" s="1847"/>
      <c r="Y209" s="2926" t="s">
        <v>2841</v>
      </c>
    </row>
    <row r="210" spans="1:25" ht="92.4">
      <c r="A210" s="2928"/>
      <c r="B210" s="2928"/>
      <c r="C210" s="2928"/>
      <c r="D210" s="3033"/>
      <c r="E210" s="1746" t="s">
        <v>3252</v>
      </c>
      <c r="F210" s="556"/>
      <c r="G210" s="583" t="s">
        <v>3226</v>
      </c>
      <c r="H210" s="556"/>
      <c r="I210" s="1800" t="s">
        <v>3253</v>
      </c>
      <c r="J210" s="583" t="s">
        <v>2954</v>
      </c>
      <c r="K210" s="557">
        <v>7</v>
      </c>
      <c r="L210" s="589">
        <v>1</v>
      </c>
      <c r="M210" s="567">
        <v>0</v>
      </c>
      <c r="N210" s="562">
        <v>0</v>
      </c>
      <c r="O210" s="3169"/>
      <c r="P210" s="1888">
        <v>411425634</v>
      </c>
      <c r="Q210" s="1888">
        <v>411425634</v>
      </c>
      <c r="R210" s="1888">
        <v>0</v>
      </c>
      <c r="S210" s="1888">
        <v>0</v>
      </c>
      <c r="T210" s="1874">
        <f t="shared" si="80"/>
        <v>0</v>
      </c>
      <c r="U210" s="1874">
        <f t="shared" si="80"/>
        <v>0</v>
      </c>
      <c r="V210" s="1795"/>
      <c r="W210" s="1795"/>
      <c r="X210" s="1847"/>
      <c r="Y210" s="2926"/>
    </row>
    <row r="211" spans="1:25" ht="27.6">
      <c r="A211" s="555"/>
      <c r="B211" s="222">
        <v>52050020003</v>
      </c>
      <c r="C211" s="222" t="s">
        <v>117</v>
      </c>
      <c r="D211" s="217" t="s">
        <v>3254</v>
      </c>
      <c r="E211" s="549"/>
      <c r="F211" s="556"/>
      <c r="G211" s="583"/>
      <c r="H211" s="556"/>
      <c r="I211" s="1800"/>
      <c r="J211" s="1800"/>
      <c r="K211" s="557">
        <f>K212+K215+K218</f>
        <v>3</v>
      </c>
      <c r="L211" s="589"/>
      <c r="M211" s="567"/>
      <c r="N211" s="562"/>
      <c r="O211" s="562"/>
      <c r="P211" s="557"/>
      <c r="Q211" s="557"/>
      <c r="R211" s="557"/>
      <c r="S211" s="557"/>
      <c r="T211" s="1874"/>
      <c r="U211" s="1874"/>
      <c r="V211" s="1795"/>
      <c r="W211" s="1795"/>
      <c r="X211" s="1800"/>
      <c r="Y211" s="555"/>
    </row>
    <row r="212" spans="1:25">
      <c r="A212" s="2928">
        <v>4148</v>
      </c>
      <c r="B212" s="2928"/>
      <c r="C212" s="2928" t="s">
        <v>123</v>
      </c>
      <c r="D212" s="3033" t="s">
        <v>3255</v>
      </c>
      <c r="E212" s="1746" t="s">
        <v>3256</v>
      </c>
      <c r="F212" s="556"/>
      <c r="G212" s="583"/>
      <c r="H212" s="556"/>
      <c r="I212" s="1800"/>
      <c r="J212" s="1800"/>
      <c r="K212" s="557">
        <v>1</v>
      </c>
      <c r="L212" s="589">
        <f>SUM(L213:L214)</f>
        <v>1</v>
      </c>
      <c r="M212" s="567"/>
      <c r="N212" s="562">
        <f>SUM(N213:N214)</f>
        <v>1.0999999999999999E-2</v>
      </c>
      <c r="O212" s="3169">
        <f>IF(Q212&gt;0,N212,"na")</f>
        <v>1.0999999999999999E-2</v>
      </c>
      <c r="P212" s="557">
        <f>SUM(P213:P214)</f>
        <v>52268190</v>
      </c>
      <c r="Q212" s="557">
        <f t="shared" ref="Q212:S212" si="85">SUM(Q213:Q214)</f>
        <v>52268190</v>
      </c>
      <c r="R212" s="557">
        <f t="shared" si="85"/>
        <v>9840000</v>
      </c>
      <c r="S212" s="557">
        <f t="shared" si="85"/>
        <v>0</v>
      </c>
      <c r="T212" s="1874">
        <f t="shared" si="80"/>
        <v>0.18825981921317728</v>
      </c>
      <c r="U212" s="1874">
        <f t="shared" si="80"/>
        <v>0</v>
      </c>
      <c r="V212" s="1795"/>
      <c r="W212" s="1795"/>
      <c r="X212" s="1847"/>
      <c r="Y212" s="2926" t="s">
        <v>2841</v>
      </c>
    </row>
    <row r="213" spans="1:25" ht="66">
      <c r="A213" s="2928"/>
      <c r="B213" s="2928"/>
      <c r="C213" s="2928"/>
      <c r="D213" s="3033"/>
      <c r="E213" s="549" t="s">
        <v>3257</v>
      </c>
      <c r="F213" s="556"/>
      <c r="G213" s="583"/>
      <c r="H213" s="556"/>
      <c r="I213" s="1800" t="s">
        <v>3258</v>
      </c>
      <c r="J213" s="583" t="s">
        <v>132</v>
      </c>
      <c r="K213" s="557">
        <v>1</v>
      </c>
      <c r="L213" s="589">
        <v>0.55000000000000004</v>
      </c>
      <c r="M213" s="567">
        <v>0</v>
      </c>
      <c r="N213" s="562">
        <v>1.0999999999999999E-2</v>
      </c>
      <c r="O213" s="3169"/>
      <c r="P213" s="1888">
        <v>9900000</v>
      </c>
      <c r="Q213" s="1888">
        <v>9900000</v>
      </c>
      <c r="R213" s="1888">
        <v>9840000</v>
      </c>
      <c r="S213" s="1888">
        <v>0</v>
      </c>
      <c r="T213" s="1874">
        <f t="shared" si="80"/>
        <v>0.9939393939393939</v>
      </c>
      <c r="U213" s="1874">
        <f t="shared" si="80"/>
        <v>0</v>
      </c>
      <c r="V213" s="1795">
        <v>45355</v>
      </c>
      <c r="W213" s="1795">
        <v>45412</v>
      </c>
      <c r="X213" s="1800" t="s">
        <v>3259</v>
      </c>
      <c r="Y213" s="2926"/>
    </row>
    <row r="214" spans="1:25" ht="79.2">
      <c r="A214" s="2928"/>
      <c r="B214" s="2928"/>
      <c r="C214" s="2928"/>
      <c r="D214" s="3033"/>
      <c r="E214" s="549" t="s">
        <v>3260</v>
      </c>
      <c r="F214" s="556"/>
      <c r="G214" s="583" t="s">
        <v>3254</v>
      </c>
      <c r="H214" s="556"/>
      <c r="I214" s="1800" t="s">
        <v>3261</v>
      </c>
      <c r="J214" s="583" t="s">
        <v>3262</v>
      </c>
      <c r="K214" s="557">
        <v>1</v>
      </c>
      <c r="L214" s="589">
        <v>0.45</v>
      </c>
      <c r="M214" s="567">
        <v>0</v>
      </c>
      <c r="N214" s="562">
        <v>0</v>
      </c>
      <c r="O214" s="3169"/>
      <c r="P214" s="1888">
        <v>42368190</v>
      </c>
      <c r="Q214" s="1888">
        <v>42368190</v>
      </c>
      <c r="R214" s="1888">
        <v>0</v>
      </c>
      <c r="S214" s="1888">
        <v>0</v>
      </c>
      <c r="T214" s="1874">
        <f t="shared" si="80"/>
        <v>0</v>
      </c>
      <c r="U214" s="1874">
        <f t="shared" si="80"/>
        <v>0</v>
      </c>
      <c r="V214" s="1795"/>
      <c r="W214" s="1795"/>
      <c r="X214" s="1800"/>
      <c r="Y214" s="2926"/>
    </row>
    <row r="215" spans="1:25">
      <c r="A215" s="2928">
        <v>4148</v>
      </c>
      <c r="B215" s="2928"/>
      <c r="C215" s="2928" t="s">
        <v>123</v>
      </c>
      <c r="D215" s="3033" t="s">
        <v>3263</v>
      </c>
      <c r="E215" s="1746" t="s">
        <v>3264</v>
      </c>
      <c r="F215" s="556"/>
      <c r="G215" s="583"/>
      <c r="H215" s="556"/>
      <c r="I215" s="1800"/>
      <c r="J215" s="1800"/>
      <c r="K215" s="557">
        <v>1</v>
      </c>
      <c r="L215" s="589">
        <f>SUM(L216:L217)</f>
        <v>1</v>
      </c>
      <c r="M215" s="567"/>
      <c r="N215" s="562">
        <f>SUM(N216:N217)</f>
        <v>0</v>
      </c>
      <c r="O215" s="3169">
        <f>IF(Q215&gt;0,N215,"na")</f>
        <v>0</v>
      </c>
      <c r="P215" s="557">
        <f>SUM(P216:P217)</f>
        <v>24591600</v>
      </c>
      <c r="Q215" s="557">
        <f t="shared" ref="Q215:S215" si="86">SUM(Q216:Q217)</f>
        <v>24591600</v>
      </c>
      <c r="R215" s="557">
        <f t="shared" si="86"/>
        <v>0</v>
      </c>
      <c r="S215" s="557">
        <f t="shared" si="86"/>
        <v>0</v>
      </c>
      <c r="T215" s="1874">
        <f t="shared" si="80"/>
        <v>0</v>
      </c>
      <c r="U215" s="1874">
        <f t="shared" si="80"/>
        <v>0</v>
      </c>
      <c r="V215" s="1795">
        <v>45306</v>
      </c>
      <c r="W215" s="1795">
        <v>45657</v>
      </c>
      <c r="X215" s="1847"/>
      <c r="Y215" s="2926" t="s">
        <v>2863</v>
      </c>
    </row>
    <row r="216" spans="1:25" ht="52.8">
      <c r="A216" s="2928"/>
      <c r="B216" s="2928"/>
      <c r="C216" s="2928"/>
      <c r="D216" s="3033"/>
      <c r="E216" s="549" t="s">
        <v>3265</v>
      </c>
      <c r="F216" s="556"/>
      <c r="G216" s="583"/>
      <c r="H216" s="556"/>
      <c r="I216" s="1800" t="s">
        <v>3266</v>
      </c>
      <c r="J216" s="583" t="s">
        <v>2847</v>
      </c>
      <c r="K216" s="557">
        <v>1</v>
      </c>
      <c r="L216" s="589">
        <v>0.34</v>
      </c>
      <c r="M216" s="567">
        <v>0</v>
      </c>
      <c r="N216" s="562">
        <v>0</v>
      </c>
      <c r="O216" s="3169"/>
      <c r="P216" s="1888">
        <v>22356000</v>
      </c>
      <c r="Q216" s="1888">
        <v>22356000</v>
      </c>
      <c r="R216" s="1888">
        <v>0</v>
      </c>
      <c r="S216" s="1888">
        <v>0</v>
      </c>
      <c r="T216" s="1874">
        <f t="shared" si="80"/>
        <v>0</v>
      </c>
      <c r="U216" s="1874">
        <f t="shared" si="80"/>
        <v>0</v>
      </c>
      <c r="V216" s="1795"/>
      <c r="W216" s="1795"/>
      <c r="X216" s="1800"/>
      <c r="Y216" s="2926"/>
    </row>
    <row r="217" spans="1:25" ht="92.4">
      <c r="A217" s="2928"/>
      <c r="B217" s="2928"/>
      <c r="C217" s="2928"/>
      <c r="D217" s="3033"/>
      <c r="E217" s="549" t="s">
        <v>3267</v>
      </c>
      <c r="F217" s="556"/>
      <c r="G217" s="583" t="s">
        <v>3254</v>
      </c>
      <c r="H217" s="556"/>
      <c r="I217" s="1800" t="s">
        <v>3268</v>
      </c>
      <c r="J217" s="583" t="s">
        <v>2941</v>
      </c>
      <c r="K217" s="557">
        <v>1</v>
      </c>
      <c r="L217" s="589">
        <v>0.66</v>
      </c>
      <c r="M217" s="567">
        <v>0</v>
      </c>
      <c r="N217" s="562">
        <v>0</v>
      </c>
      <c r="O217" s="3169"/>
      <c r="P217" s="1888">
        <v>2235600</v>
      </c>
      <c r="Q217" s="1888">
        <v>2235600</v>
      </c>
      <c r="R217" s="1888">
        <v>0</v>
      </c>
      <c r="S217" s="1888">
        <v>0</v>
      </c>
      <c r="T217" s="1874">
        <f t="shared" si="80"/>
        <v>0</v>
      </c>
      <c r="U217" s="1874">
        <f t="shared" si="80"/>
        <v>0</v>
      </c>
      <c r="V217" s="1795"/>
      <c r="W217" s="1795"/>
      <c r="X217" s="1800"/>
      <c r="Y217" s="2926"/>
    </row>
    <row r="218" spans="1:25">
      <c r="A218" s="2928">
        <v>4148</v>
      </c>
      <c r="B218" s="2928"/>
      <c r="C218" s="2928" t="s">
        <v>123</v>
      </c>
      <c r="D218" s="3033" t="s">
        <v>3269</v>
      </c>
      <c r="E218" s="1746" t="s">
        <v>3270</v>
      </c>
      <c r="F218" s="556"/>
      <c r="G218" s="583"/>
      <c r="H218" s="556"/>
      <c r="I218" s="1800"/>
      <c r="J218" s="1800"/>
      <c r="K218" s="557">
        <v>1</v>
      </c>
      <c r="L218" s="589">
        <f>SUM(L219:L220)</f>
        <v>1</v>
      </c>
      <c r="M218" s="567"/>
      <c r="N218" s="562">
        <f>SUM(N219:N220)</f>
        <v>0</v>
      </c>
      <c r="O218" s="3169">
        <f>IF(Q218&gt;0,N218,"na")</f>
        <v>0</v>
      </c>
      <c r="P218" s="557">
        <f>SUM(P219:P220)</f>
        <v>31601310</v>
      </c>
      <c r="Q218" s="557">
        <f t="shared" ref="Q218:S218" si="87">SUM(Q219:Q220)</f>
        <v>31601310</v>
      </c>
      <c r="R218" s="557">
        <f t="shared" si="87"/>
        <v>0</v>
      </c>
      <c r="S218" s="557">
        <f t="shared" si="87"/>
        <v>0</v>
      </c>
      <c r="T218" s="1874">
        <f t="shared" si="80"/>
        <v>0</v>
      </c>
      <c r="U218" s="1874">
        <f t="shared" si="80"/>
        <v>0</v>
      </c>
      <c r="V218" s="1795">
        <v>45306</v>
      </c>
      <c r="W218" s="1795">
        <v>45657</v>
      </c>
      <c r="X218" s="1847"/>
      <c r="Y218" s="2926" t="s">
        <v>2863</v>
      </c>
    </row>
    <row r="219" spans="1:25" ht="79.2">
      <c r="A219" s="2928"/>
      <c r="B219" s="2928"/>
      <c r="C219" s="2928"/>
      <c r="D219" s="3033"/>
      <c r="E219" s="549" t="s">
        <v>3271</v>
      </c>
      <c r="F219" s="556"/>
      <c r="G219" s="2926" t="s">
        <v>3254</v>
      </c>
      <c r="H219" s="3168"/>
      <c r="I219" s="1800" t="s">
        <v>3272</v>
      </c>
      <c r="J219" s="1800" t="s">
        <v>3273</v>
      </c>
      <c r="K219" s="557">
        <v>1</v>
      </c>
      <c r="L219" s="589">
        <v>0.67</v>
      </c>
      <c r="M219" s="567">
        <v>0</v>
      </c>
      <c r="N219" s="562">
        <v>0</v>
      </c>
      <c r="O219" s="3169"/>
      <c r="P219" s="1888">
        <v>21205800</v>
      </c>
      <c r="Q219" s="1888">
        <v>21205800</v>
      </c>
      <c r="R219" s="1888">
        <v>0</v>
      </c>
      <c r="S219" s="1888">
        <v>0</v>
      </c>
      <c r="T219" s="1874">
        <f t="shared" si="80"/>
        <v>0</v>
      </c>
      <c r="U219" s="1874">
        <f t="shared" si="80"/>
        <v>0</v>
      </c>
      <c r="V219" s="1795"/>
      <c r="W219" s="1795"/>
      <c r="X219" s="1800"/>
      <c r="Y219" s="2926"/>
    </row>
    <row r="220" spans="1:25" ht="52.8">
      <c r="A220" s="2928"/>
      <c r="B220" s="2928"/>
      <c r="C220" s="2928"/>
      <c r="D220" s="3033"/>
      <c r="E220" s="549" t="s">
        <v>3274</v>
      </c>
      <c r="F220" s="556"/>
      <c r="G220" s="2926"/>
      <c r="H220" s="3168"/>
      <c r="I220" s="1800" t="s">
        <v>3275</v>
      </c>
      <c r="J220" s="583" t="s">
        <v>2847</v>
      </c>
      <c r="K220" s="557">
        <v>2</v>
      </c>
      <c r="L220" s="589">
        <v>0.33</v>
      </c>
      <c r="M220" s="567">
        <v>0</v>
      </c>
      <c r="N220" s="562">
        <v>0</v>
      </c>
      <c r="O220" s="3169"/>
      <c r="P220" s="1888">
        <v>10395510</v>
      </c>
      <c r="Q220" s="1888">
        <v>10395510</v>
      </c>
      <c r="R220" s="1888">
        <v>0</v>
      </c>
      <c r="S220" s="1888">
        <v>0</v>
      </c>
      <c r="T220" s="1874">
        <f t="shared" si="80"/>
        <v>0</v>
      </c>
      <c r="U220" s="1874">
        <f t="shared" si="80"/>
        <v>0</v>
      </c>
      <c r="V220" s="1795"/>
      <c r="W220" s="1795"/>
      <c r="X220" s="1800"/>
      <c r="Y220" s="2926"/>
    </row>
    <row r="221" spans="1:25">
      <c r="A221" s="555"/>
      <c r="B221" s="222">
        <v>52050020004</v>
      </c>
      <c r="C221" s="222" t="s">
        <v>117</v>
      </c>
      <c r="D221" s="217" t="s">
        <v>3276</v>
      </c>
      <c r="E221" s="549"/>
      <c r="F221" s="556"/>
      <c r="G221" s="583"/>
      <c r="H221" s="556"/>
      <c r="I221" s="1800"/>
      <c r="J221" s="1800"/>
      <c r="K221" s="557">
        <f>K222</f>
        <v>157</v>
      </c>
      <c r="L221" s="589"/>
      <c r="M221" s="567"/>
      <c r="N221" s="562"/>
      <c r="O221" s="562"/>
      <c r="P221" s="557"/>
      <c r="Q221" s="557"/>
      <c r="R221" s="557"/>
      <c r="S221" s="557"/>
      <c r="T221" s="562"/>
      <c r="U221" s="562"/>
      <c r="V221" s="1795"/>
      <c r="W221" s="1795"/>
      <c r="X221" s="1800"/>
      <c r="Y221" s="555"/>
    </row>
    <row r="222" spans="1:25">
      <c r="A222" s="2928">
        <v>4148</v>
      </c>
      <c r="B222" s="2928"/>
      <c r="C222" s="2928" t="s">
        <v>123</v>
      </c>
      <c r="D222" s="3033" t="s">
        <v>3277</v>
      </c>
      <c r="E222" s="1746" t="s">
        <v>3278</v>
      </c>
      <c r="F222" s="556"/>
      <c r="G222" s="583"/>
      <c r="H222" s="556"/>
      <c r="I222" s="1800"/>
      <c r="J222" s="1800"/>
      <c r="K222" s="557">
        <f>K224</f>
        <v>157</v>
      </c>
      <c r="L222" s="589">
        <f>SUM(L223:L224)</f>
        <v>1</v>
      </c>
      <c r="M222" s="567"/>
      <c r="N222" s="562">
        <f>SUM(N223:N224)</f>
        <v>1.7000000000000001E-2</v>
      </c>
      <c r="O222" s="3169">
        <f>IF(Q222&gt;0,N222,"na")</f>
        <v>1.7000000000000001E-2</v>
      </c>
      <c r="P222" s="557">
        <f>SUM(P223:P224)</f>
        <v>1456464319</v>
      </c>
      <c r="Q222" s="557">
        <f t="shared" ref="Q222:S222" si="88">SUM(Q223:Q224)</f>
        <v>1456464319</v>
      </c>
      <c r="R222" s="557">
        <f t="shared" si="88"/>
        <v>108357000</v>
      </c>
      <c r="S222" s="557">
        <f t="shared" si="88"/>
        <v>62374500</v>
      </c>
      <c r="T222" s="1874">
        <f t="shared" ref="T222:U224" si="89">IF(Q222=0,0,R222/Q222)</f>
        <v>7.4397291156708387E-2</v>
      </c>
      <c r="U222" s="1874">
        <f t="shared" si="89"/>
        <v>0.57563886043356682</v>
      </c>
      <c r="V222" s="1795"/>
      <c r="W222" s="1795"/>
      <c r="X222" s="1847"/>
      <c r="Y222" s="2926" t="s">
        <v>2841</v>
      </c>
    </row>
    <row r="223" spans="1:25" ht="92.4">
      <c r="A223" s="2928"/>
      <c r="B223" s="2928"/>
      <c r="C223" s="2928"/>
      <c r="D223" s="3033"/>
      <c r="E223" s="549" t="s">
        <v>3279</v>
      </c>
      <c r="F223" s="556"/>
      <c r="G223" s="583"/>
      <c r="H223" s="556"/>
      <c r="I223" s="583" t="s">
        <v>3280</v>
      </c>
      <c r="J223" s="583" t="s">
        <v>2896</v>
      </c>
      <c r="K223" s="557">
        <v>610</v>
      </c>
      <c r="L223" s="589">
        <v>0.2</v>
      </c>
      <c r="M223" s="567">
        <v>0</v>
      </c>
      <c r="N223" s="562">
        <v>1.7000000000000001E-2</v>
      </c>
      <c r="O223" s="3169"/>
      <c r="P223" s="1888">
        <v>339258150</v>
      </c>
      <c r="Q223" s="1888">
        <v>339258150</v>
      </c>
      <c r="R223" s="1888">
        <v>89004500</v>
      </c>
      <c r="S223" s="1888">
        <v>62374500</v>
      </c>
      <c r="T223" s="1874">
        <f t="shared" si="89"/>
        <v>0.26235036652767224</v>
      </c>
      <c r="U223" s="1874">
        <f t="shared" si="89"/>
        <v>0.70080164486065311</v>
      </c>
      <c r="V223" s="879" t="s">
        <v>2992</v>
      </c>
      <c r="W223" s="1795">
        <v>45412</v>
      </c>
      <c r="X223" s="1800" t="s">
        <v>3281</v>
      </c>
      <c r="Y223" s="2926"/>
    </row>
    <row r="224" spans="1:25" ht="92.4">
      <c r="A224" s="2928"/>
      <c r="B224" s="2928"/>
      <c r="C224" s="2928"/>
      <c r="D224" s="3033"/>
      <c r="E224" s="549" t="s">
        <v>3282</v>
      </c>
      <c r="F224" s="556"/>
      <c r="G224" s="583" t="s">
        <v>3276</v>
      </c>
      <c r="H224" s="556"/>
      <c r="I224" s="583" t="s">
        <v>3283</v>
      </c>
      <c r="J224" s="583" t="s">
        <v>2856</v>
      </c>
      <c r="K224" s="557">
        <v>157</v>
      </c>
      <c r="L224" s="589">
        <v>0.8</v>
      </c>
      <c r="M224" s="567">
        <v>0</v>
      </c>
      <c r="N224" s="562">
        <v>0</v>
      </c>
      <c r="O224" s="3169"/>
      <c r="P224" s="1888">
        <v>1117206169</v>
      </c>
      <c r="Q224" s="1888">
        <v>1117206169</v>
      </c>
      <c r="R224" s="1888">
        <v>19352500</v>
      </c>
      <c r="S224" s="1888">
        <v>0</v>
      </c>
      <c r="T224" s="1874">
        <f t="shared" si="89"/>
        <v>1.7322228015731623E-2</v>
      </c>
      <c r="U224" s="1874">
        <f t="shared" si="89"/>
        <v>0</v>
      </c>
      <c r="V224" s="1795"/>
      <c r="W224" s="1795"/>
      <c r="X224" s="1800"/>
      <c r="Y224" s="2926"/>
    </row>
    <row r="225" spans="1:25">
      <c r="A225" s="555"/>
      <c r="B225" s="222">
        <v>52050020005</v>
      </c>
      <c r="C225" s="222" t="s">
        <v>117</v>
      </c>
      <c r="D225" s="217" t="s">
        <v>3284</v>
      </c>
      <c r="E225" s="549"/>
      <c r="F225" s="556"/>
      <c r="G225" s="583"/>
      <c r="H225" s="556"/>
      <c r="I225" s="1800"/>
      <c r="J225" s="1800"/>
      <c r="K225" s="812">
        <f>K226+K229</f>
        <v>5</v>
      </c>
      <c r="L225" s="589"/>
      <c r="M225" s="567"/>
      <c r="N225" s="562"/>
      <c r="O225" s="562"/>
      <c r="P225" s="557"/>
      <c r="Q225" s="557"/>
      <c r="R225" s="557"/>
      <c r="S225" s="557"/>
      <c r="T225" s="562"/>
      <c r="U225" s="562"/>
      <c r="V225" s="1795"/>
      <c r="W225" s="1795"/>
      <c r="X225" s="1800"/>
      <c r="Y225" s="555"/>
    </row>
    <row r="226" spans="1:25">
      <c r="A226" s="2928">
        <v>4148</v>
      </c>
      <c r="B226" s="2928"/>
      <c r="C226" s="2928" t="s">
        <v>123</v>
      </c>
      <c r="D226" s="3033" t="s">
        <v>3285</v>
      </c>
      <c r="E226" s="1746" t="s">
        <v>3286</v>
      </c>
      <c r="F226" s="556"/>
      <c r="G226" s="583"/>
      <c r="H226" s="556"/>
      <c r="I226" s="1800"/>
      <c r="J226" s="1800"/>
      <c r="K226" s="557">
        <f>K227</f>
        <v>1</v>
      </c>
      <c r="L226" s="589">
        <f>SUM(L227:L228)</f>
        <v>1</v>
      </c>
      <c r="M226" s="567"/>
      <c r="N226" s="562">
        <f>SUM(N227:N228)</f>
        <v>4.3999999999999997E-2</v>
      </c>
      <c r="O226" s="3169">
        <f>IF(Q226&gt;0,N226,"na")</f>
        <v>4.3999999999999997E-2</v>
      </c>
      <c r="P226" s="557">
        <f>SUM(P227:P228)</f>
        <v>99279960</v>
      </c>
      <c r="Q226" s="557">
        <f t="shared" ref="Q226:S226" si="90">SUM(Q227:Q228)</f>
        <v>99279960</v>
      </c>
      <c r="R226" s="557">
        <f t="shared" si="90"/>
        <v>15693000</v>
      </c>
      <c r="S226" s="557">
        <f t="shared" si="90"/>
        <v>10462000</v>
      </c>
      <c r="T226" s="1874">
        <f t="shared" ref="T226:U231" si="91">IF(Q226=0,0,R226/Q226)</f>
        <v>0.15806815393559787</v>
      </c>
      <c r="U226" s="1874">
        <f t="shared" si="91"/>
        <v>0.66666666666666663</v>
      </c>
      <c r="V226" s="1795"/>
      <c r="W226" s="1795"/>
      <c r="X226" s="1847"/>
      <c r="Y226" s="2926" t="s">
        <v>2841</v>
      </c>
    </row>
    <row r="227" spans="1:25" ht="198">
      <c r="A227" s="2928"/>
      <c r="B227" s="2928"/>
      <c r="C227" s="2928"/>
      <c r="D227" s="3033"/>
      <c r="E227" s="549" t="s">
        <v>3287</v>
      </c>
      <c r="F227" s="556"/>
      <c r="G227" s="583" t="s">
        <v>3284</v>
      </c>
      <c r="H227" s="556"/>
      <c r="I227" s="583" t="s">
        <v>3288</v>
      </c>
      <c r="J227" s="583" t="s">
        <v>132</v>
      </c>
      <c r="K227" s="557">
        <v>1</v>
      </c>
      <c r="L227" s="589">
        <v>0.8</v>
      </c>
      <c r="M227" s="567">
        <v>0</v>
      </c>
      <c r="N227" s="562">
        <v>4.3999999999999997E-2</v>
      </c>
      <c r="O227" s="3169"/>
      <c r="P227" s="1888">
        <v>84279960</v>
      </c>
      <c r="Q227" s="1888">
        <v>84279960</v>
      </c>
      <c r="R227" s="1888">
        <v>15693000</v>
      </c>
      <c r="S227" s="1888">
        <v>10462000</v>
      </c>
      <c r="T227" s="1874">
        <f t="shared" si="91"/>
        <v>0.18620084774601223</v>
      </c>
      <c r="U227" s="1874">
        <f t="shared" si="91"/>
        <v>0.66666666666666663</v>
      </c>
      <c r="V227" s="1795">
        <v>45343</v>
      </c>
      <c r="W227" s="1795">
        <v>45412</v>
      </c>
      <c r="X227" s="1814" t="s">
        <v>3289</v>
      </c>
      <c r="Y227" s="2926"/>
    </row>
    <row r="228" spans="1:25" ht="52.8">
      <c r="A228" s="2928"/>
      <c r="B228" s="2928"/>
      <c r="C228" s="2928"/>
      <c r="D228" s="3033"/>
      <c r="E228" s="549" t="s">
        <v>3290</v>
      </c>
      <c r="F228" s="556"/>
      <c r="G228" s="583"/>
      <c r="H228" s="556"/>
      <c r="I228" s="583" t="s">
        <v>3291</v>
      </c>
      <c r="J228" s="583" t="s">
        <v>3292</v>
      </c>
      <c r="K228" s="557">
        <v>1</v>
      </c>
      <c r="L228" s="589">
        <v>0.2</v>
      </c>
      <c r="M228" s="567">
        <v>0</v>
      </c>
      <c r="N228" s="562">
        <v>0</v>
      </c>
      <c r="O228" s="3169"/>
      <c r="P228" s="1888">
        <v>15000000</v>
      </c>
      <c r="Q228" s="1888">
        <v>15000000</v>
      </c>
      <c r="R228" s="1888">
        <v>0</v>
      </c>
      <c r="S228" s="1888">
        <v>0</v>
      </c>
      <c r="T228" s="1874">
        <f t="shared" si="91"/>
        <v>0</v>
      </c>
      <c r="U228" s="1874">
        <f t="shared" si="91"/>
        <v>0</v>
      </c>
      <c r="V228" s="1795"/>
      <c r="W228" s="1795"/>
      <c r="X228" s="1800"/>
      <c r="Y228" s="2926"/>
    </row>
    <row r="229" spans="1:25">
      <c r="A229" s="2928">
        <v>4148</v>
      </c>
      <c r="B229" s="2928"/>
      <c r="C229" s="2928" t="s">
        <v>123</v>
      </c>
      <c r="D229" s="3033" t="s">
        <v>3285</v>
      </c>
      <c r="E229" s="1746" t="s">
        <v>3293</v>
      </c>
      <c r="F229" s="556"/>
      <c r="G229" s="583"/>
      <c r="H229" s="556"/>
      <c r="I229" s="1800"/>
      <c r="J229" s="1800"/>
      <c r="K229" s="557">
        <f>K230</f>
        <v>4</v>
      </c>
      <c r="L229" s="589">
        <f>SUM(L230:L231)</f>
        <v>1</v>
      </c>
      <c r="M229" s="567"/>
      <c r="N229" s="562">
        <f>SUM(N230:N231)</f>
        <v>0</v>
      </c>
      <c r="O229" s="3169">
        <f>IF(Q229&gt;0,N229,"na")</f>
        <v>0</v>
      </c>
      <c r="P229" s="557">
        <f>SUM(P230:P231)</f>
        <v>696606400</v>
      </c>
      <c r="Q229" s="557">
        <f t="shared" ref="Q229:S229" si="92">SUM(Q230:Q231)</f>
        <v>696606400</v>
      </c>
      <c r="R229" s="557">
        <f t="shared" si="92"/>
        <v>0</v>
      </c>
      <c r="S229" s="557">
        <f t="shared" si="92"/>
        <v>0</v>
      </c>
      <c r="T229" s="1874">
        <f t="shared" si="91"/>
        <v>0</v>
      </c>
      <c r="U229" s="1874">
        <f t="shared" si="91"/>
        <v>0</v>
      </c>
      <c r="V229" s="1795">
        <v>45306</v>
      </c>
      <c r="W229" s="1795">
        <v>45657</v>
      </c>
      <c r="X229" s="1847"/>
      <c r="Y229" s="2926" t="s">
        <v>2841</v>
      </c>
    </row>
    <row r="230" spans="1:25" ht="52.8">
      <c r="A230" s="2928"/>
      <c r="B230" s="2928"/>
      <c r="C230" s="2928"/>
      <c r="D230" s="3033"/>
      <c r="E230" s="549" t="s">
        <v>3294</v>
      </c>
      <c r="F230" s="556"/>
      <c r="G230" s="583" t="s">
        <v>3284</v>
      </c>
      <c r="H230" s="556"/>
      <c r="I230" s="583" t="s">
        <v>3295</v>
      </c>
      <c r="J230" s="583" t="s">
        <v>132</v>
      </c>
      <c r="K230" s="557">
        <v>4</v>
      </c>
      <c r="L230" s="589">
        <v>0.97</v>
      </c>
      <c r="M230" s="567">
        <v>0</v>
      </c>
      <c r="N230" s="562">
        <v>0</v>
      </c>
      <c r="O230" s="3169"/>
      <c r="P230" s="1888">
        <v>673550000</v>
      </c>
      <c r="Q230" s="1888">
        <v>673550000</v>
      </c>
      <c r="R230" s="1888">
        <v>0</v>
      </c>
      <c r="S230" s="1888">
        <v>0</v>
      </c>
      <c r="T230" s="1874">
        <f t="shared" si="91"/>
        <v>0</v>
      </c>
      <c r="U230" s="1874">
        <f t="shared" si="91"/>
        <v>0</v>
      </c>
      <c r="V230" s="1795"/>
      <c r="W230" s="1795"/>
      <c r="X230" s="1800"/>
      <c r="Y230" s="2926"/>
    </row>
    <row r="231" spans="1:25" ht="52.8">
      <c r="A231" s="2928"/>
      <c r="B231" s="2928"/>
      <c r="C231" s="2928"/>
      <c r="D231" s="3033"/>
      <c r="E231" s="549" t="s">
        <v>3296</v>
      </c>
      <c r="F231" s="556"/>
      <c r="G231" s="583"/>
      <c r="H231" s="556"/>
      <c r="I231" s="583" t="s">
        <v>3297</v>
      </c>
      <c r="J231" s="583" t="s">
        <v>2847</v>
      </c>
      <c r="K231" s="557">
        <v>1</v>
      </c>
      <c r="L231" s="589">
        <v>0.03</v>
      </c>
      <c r="M231" s="567">
        <v>0</v>
      </c>
      <c r="N231" s="562">
        <v>0</v>
      </c>
      <c r="O231" s="3169"/>
      <c r="P231" s="1888">
        <v>23056400</v>
      </c>
      <c r="Q231" s="1888">
        <v>23056400</v>
      </c>
      <c r="R231" s="1888">
        <v>0</v>
      </c>
      <c r="S231" s="1888">
        <v>0</v>
      </c>
      <c r="T231" s="1874">
        <f t="shared" si="91"/>
        <v>0</v>
      </c>
      <c r="U231" s="1874">
        <f t="shared" si="91"/>
        <v>0</v>
      </c>
      <c r="V231" s="1795"/>
      <c r="W231" s="1795"/>
      <c r="X231" s="1800"/>
      <c r="Y231" s="2926"/>
    </row>
    <row r="232" spans="1:25" ht="27.6">
      <c r="A232" s="555"/>
      <c r="B232" s="222">
        <v>52050020006</v>
      </c>
      <c r="C232" s="222" t="s">
        <v>117</v>
      </c>
      <c r="D232" s="217" t="s">
        <v>3298</v>
      </c>
      <c r="E232" s="549"/>
      <c r="F232" s="556"/>
      <c r="G232" s="583"/>
      <c r="H232" s="556"/>
      <c r="I232" s="1800"/>
      <c r="J232" s="1800"/>
      <c r="K232" s="557">
        <f>K233</f>
        <v>495</v>
      </c>
      <c r="L232" s="589"/>
      <c r="M232" s="567"/>
      <c r="N232" s="562"/>
      <c r="O232" s="562"/>
      <c r="P232" s="557"/>
      <c r="Q232" s="557"/>
      <c r="R232" s="557"/>
      <c r="S232" s="557"/>
      <c r="T232" s="562"/>
      <c r="U232" s="562"/>
      <c r="V232" s="1795"/>
      <c r="W232" s="1795"/>
      <c r="X232" s="1800"/>
      <c r="Y232" s="555"/>
    </row>
    <row r="233" spans="1:25">
      <c r="A233" s="2928">
        <v>4148</v>
      </c>
      <c r="B233" s="2928"/>
      <c r="C233" s="2928" t="s">
        <v>123</v>
      </c>
      <c r="D233" s="3033" t="s">
        <v>3299</v>
      </c>
      <c r="E233" s="1746" t="s">
        <v>3300</v>
      </c>
      <c r="F233" s="556"/>
      <c r="G233" s="583"/>
      <c r="H233" s="556"/>
      <c r="I233" s="1800"/>
      <c r="J233" s="1800"/>
      <c r="K233" s="557">
        <f>K234+K235</f>
        <v>495</v>
      </c>
      <c r="L233" s="589">
        <f>SUM(L234:L235)</f>
        <v>1</v>
      </c>
      <c r="M233" s="567"/>
      <c r="N233" s="562">
        <f>SUM(N234:N235)</f>
        <v>0</v>
      </c>
      <c r="O233" s="3169">
        <f>IF(Q233&gt;0,N233,"na")</f>
        <v>0</v>
      </c>
      <c r="P233" s="557">
        <f>SUM(P234:P235)</f>
        <v>3516532706</v>
      </c>
      <c r="Q233" s="557">
        <f t="shared" ref="Q233:S233" si="93">SUM(Q234:Q235)</f>
        <v>3516532706</v>
      </c>
      <c r="R233" s="557">
        <f t="shared" si="93"/>
        <v>0</v>
      </c>
      <c r="S233" s="557">
        <f t="shared" si="93"/>
        <v>0</v>
      </c>
      <c r="T233" s="1874">
        <f t="shared" ref="T233:U235" si="94">IF(Q233=0,0,R233/Q233)</f>
        <v>0</v>
      </c>
      <c r="U233" s="1874">
        <f t="shared" si="94"/>
        <v>0</v>
      </c>
      <c r="V233" s="1795">
        <v>45306</v>
      </c>
      <c r="W233" s="1795">
        <v>45657</v>
      </c>
      <c r="X233" s="1847"/>
      <c r="Y233" s="2926" t="s">
        <v>3301</v>
      </c>
    </row>
    <row r="234" spans="1:25" ht="92.4">
      <c r="A234" s="2928"/>
      <c r="B234" s="2928"/>
      <c r="C234" s="2928"/>
      <c r="D234" s="3033"/>
      <c r="E234" s="549" t="s">
        <v>3302</v>
      </c>
      <c r="F234" s="556"/>
      <c r="G234" s="2926" t="s">
        <v>3298</v>
      </c>
      <c r="H234" s="556"/>
      <c r="I234" s="583" t="s">
        <v>3303</v>
      </c>
      <c r="J234" s="583" t="s">
        <v>3304</v>
      </c>
      <c r="K234" s="557">
        <v>95</v>
      </c>
      <c r="L234" s="589">
        <v>0.8</v>
      </c>
      <c r="M234" s="567">
        <v>0</v>
      </c>
      <c r="N234" s="562">
        <v>0</v>
      </c>
      <c r="O234" s="3169"/>
      <c r="P234" s="1888">
        <v>3416532706</v>
      </c>
      <c r="Q234" s="1888">
        <v>3416532706</v>
      </c>
      <c r="R234" s="1888">
        <v>0</v>
      </c>
      <c r="S234" s="1888">
        <v>0</v>
      </c>
      <c r="T234" s="1874">
        <f t="shared" si="94"/>
        <v>0</v>
      </c>
      <c r="U234" s="1874">
        <f t="shared" si="94"/>
        <v>0</v>
      </c>
      <c r="V234" s="1795"/>
      <c r="W234" s="1795"/>
      <c r="X234" s="1800"/>
      <c r="Y234" s="2926"/>
    </row>
    <row r="235" spans="1:25" ht="92.4">
      <c r="A235" s="2928"/>
      <c r="B235" s="2928"/>
      <c r="C235" s="2928"/>
      <c r="D235" s="3033"/>
      <c r="E235" s="549" t="s">
        <v>3305</v>
      </c>
      <c r="F235" s="556"/>
      <c r="G235" s="2926"/>
      <c r="H235" s="556"/>
      <c r="I235" s="1814" t="s">
        <v>3306</v>
      </c>
      <c r="J235" s="583" t="s">
        <v>2856</v>
      </c>
      <c r="K235" s="557">
        <v>400</v>
      </c>
      <c r="L235" s="589">
        <v>0.2</v>
      </c>
      <c r="M235" s="567">
        <v>0</v>
      </c>
      <c r="N235" s="562">
        <v>0</v>
      </c>
      <c r="O235" s="3169"/>
      <c r="P235" s="1888">
        <v>100000000</v>
      </c>
      <c r="Q235" s="1888">
        <v>100000000</v>
      </c>
      <c r="R235" s="1888">
        <v>0</v>
      </c>
      <c r="S235" s="1888">
        <v>0</v>
      </c>
      <c r="T235" s="1874">
        <f t="shared" si="94"/>
        <v>0</v>
      </c>
      <c r="U235" s="1874">
        <f t="shared" si="94"/>
        <v>0</v>
      </c>
      <c r="V235" s="1795"/>
      <c r="W235" s="1795"/>
      <c r="X235" s="1800"/>
      <c r="Y235" s="2926"/>
    </row>
    <row r="236" spans="1:25">
      <c r="A236" s="555"/>
      <c r="B236" s="222">
        <v>52050020007</v>
      </c>
      <c r="C236" s="222" t="s">
        <v>117</v>
      </c>
      <c r="D236" s="217" t="s">
        <v>3307</v>
      </c>
      <c r="E236" s="549"/>
      <c r="F236" s="556"/>
      <c r="G236" s="583"/>
      <c r="H236" s="556"/>
      <c r="I236" s="1800"/>
      <c r="J236" s="1800"/>
      <c r="K236" s="557">
        <f>K237</f>
        <v>1</v>
      </c>
      <c r="L236" s="589"/>
      <c r="M236" s="567"/>
      <c r="N236" s="562"/>
      <c r="O236" s="562"/>
      <c r="P236" s="557"/>
      <c r="Q236" s="557"/>
      <c r="R236" s="557"/>
      <c r="S236" s="557"/>
      <c r="T236" s="562"/>
      <c r="U236" s="562"/>
      <c r="V236" s="1795"/>
      <c r="W236" s="1795"/>
      <c r="X236" s="1800"/>
      <c r="Y236" s="555"/>
    </row>
    <row r="237" spans="1:25">
      <c r="A237" s="2928">
        <v>4148</v>
      </c>
      <c r="B237" s="2928"/>
      <c r="C237" s="2928" t="s">
        <v>123</v>
      </c>
      <c r="D237" s="2926" t="s">
        <v>3308</v>
      </c>
      <c r="E237" s="1746" t="s">
        <v>3309</v>
      </c>
      <c r="F237" s="556"/>
      <c r="G237" s="583"/>
      <c r="H237" s="556"/>
      <c r="I237" s="1800"/>
      <c r="J237" s="1800"/>
      <c r="K237" s="557">
        <f>K239</f>
        <v>1</v>
      </c>
      <c r="L237" s="589">
        <f>SUM(L238:L239)</f>
        <v>1</v>
      </c>
      <c r="M237" s="567"/>
      <c r="N237" s="562">
        <f>SUM(N238:N239)</f>
        <v>7.0000000000000001E-3</v>
      </c>
      <c r="O237" s="3169">
        <f>IF(Q237&gt;0,N237,"na")</f>
        <v>7.0000000000000001E-3</v>
      </c>
      <c r="P237" s="557">
        <f>SUM(P238:P239)</f>
        <v>583998070</v>
      </c>
      <c r="Q237" s="557">
        <f t="shared" ref="Q237:S237" si="95">SUM(Q238:Q239)</f>
        <v>583998070</v>
      </c>
      <c r="R237" s="557">
        <f t="shared" si="95"/>
        <v>18840000</v>
      </c>
      <c r="S237" s="557">
        <f t="shared" si="95"/>
        <v>10462000</v>
      </c>
      <c r="T237" s="1874">
        <f t="shared" ref="T237:U239" si="96">IF(Q237=0,0,R237/Q237)</f>
        <v>3.2260380586531731E-2</v>
      </c>
      <c r="U237" s="1874">
        <f t="shared" si="96"/>
        <v>0.55530785562632701</v>
      </c>
      <c r="V237" s="1795"/>
      <c r="W237" s="1795"/>
      <c r="X237" s="1847"/>
      <c r="Y237" s="2926" t="s">
        <v>2863</v>
      </c>
    </row>
    <row r="238" spans="1:25" ht="184.8">
      <c r="A238" s="2928"/>
      <c r="B238" s="2928"/>
      <c r="C238" s="2928"/>
      <c r="D238" s="2926"/>
      <c r="E238" s="549" t="s">
        <v>3310</v>
      </c>
      <c r="F238" s="556"/>
      <c r="G238" s="3167" t="s">
        <v>3307</v>
      </c>
      <c r="H238" s="3168"/>
      <c r="I238" s="583" t="s">
        <v>3311</v>
      </c>
      <c r="J238" s="583" t="s">
        <v>267</v>
      </c>
      <c r="K238" s="557">
        <v>75</v>
      </c>
      <c r="L238" s="589">
        <v>0.44</v>
      </c>
      <c r="M238" s="567">
        <v>0</v>
      </c>
      <c r="N238" s="562">
        <v>7.0000000000000001E-3</v>
      </c>
      <c r="O238" s="3169"/>
      <c r="P238" s="1888">
        <v>102090405</v>
      </c>
      <c r="Q238" s="1888">
        <v>102090405</v>
      </c>
      <c r="R238" s="1888">
        <v>18840000</v>
      </c>
      <c r="S238" s="1888">
        <v>10462000</v>
      </c>
      <c r="T238" s="1874">
        <f t="shared" si="96"/>
        <v>0.18454231815418892</v>
      </c>
      <c r="U238" s="1874">
        <f t="shared" si="96"/>
        <v>0.55530785562632701</v>
      </c>
      <c r="V238" s="1795">
        <v>45356</v>
      </c>
      <c r="W238" s="1795">
        <v>45412</v>
      </c>
      <c r="X238" s="1800" t="s">
        <v>3312</v>
      </c>
      <c r="Y238" s="2926"/>
    </row>
    <row r="239" spans="1:25" ht="52.8">
      <c r="A239" s="2928"/>
      <c r="B239" s="2928"/>
      <c r="C239" s="2928"/>
      <c r="D239" s="2926"/>
      <c r="E239" s="549" t="s">
        <v>3313</v>
      </c>
      <c r="F239" s="556"/>
      <c r="G239" s="3167"/>
      <c r="H239" s="3168"/>
      <c r="I239" s="583" t="s">
        <v>3314</v>
      </c>
      <c r="J239" s="583" t="s">
        <v>2941</v>
      </c>
      <c r="K239" s="557">
        <v>1</v>
      </c>
      <c r="L239" s="589">
        <v>0.56000000000000005</v>
      </c>
      <c r="M239" s="567">
        <v>0</v>
      </c>
      <c r="N239" s="562">
        <v>0</v>
      </c>
      <c r="O239" s="3169"/>
      <c r="P239" s="1888">
        <v>481907665</v>
      </c>
      <c r="Q239" s="1888">
        <v>481907665</v>
      </c>
      <c r="R239" s="1888">
        <v>0</v>
      </c>
      <c r="S239" s="1888">
        <v>0</v>
      </c>
      <c r="T239" s="1874">
        <f t="shared" si="96"/>
        <v>0</v>
      </c>
      <c r="U239" s="1874">
        <f t="shared" si="96"/>
        <v>0</v>
      </c>
      <c r="V239" s="1795"/>
      <c r="W239" s="1795"/>
      <c r="X239" s="1800"/>
      <c r="Y239" s="2926"/>
    </row>
    <row r="240" spans="1:25">
      <c r="A240" s="555"/>
      <c r="B240" s="222">
        <v>52050020008</v>
      </c>
      <c r="C240" s="222" t="s">
        <v>117</v>
      </c>
      <c r="D240" s="217" t="s">
        <v>3315</v>
      </c>
      <c r="E240" s="549"/>
      <c r="F240" s="556"/>
      <c r="G240" s="583"/>
      <c r="H240" s="556"/>
      <c r="I240" s="1800"/>
      <c r="J240" s="1800"/>
      <c r="K240" s="557">
        <f>K241</f>
        <v>38</v>
      </c>
      <c r="L240" s="589"/>
      <c r="M240" s="567"/>
      <c r="N240" s="562"/>
      <c r="O240" s="562"/>
      <c r="P240" s="557"/>
      <c r="Q240" s="557"/>
      <c r="R240" s="557"/>
      <c r="S240" s="557"/>
      <c r="T240" s="562"/>
      <c r="U240" s="562"/>
      <c r="V240" s="1795"/>
      <c r="W240" s="1795"/>
      <c r="X240" s="1800"/>
      <c r="Y240" s="555"/>
    </row>
    <row r="241" spans="1:25">
      <c r="A241" s="2928">
        <v>4148</v>
      </c>
      <c r="B241" s="2928"/>
      <c r="C241" s="2928" t="s">
        <v>123</v>
      </c>
      <c r="D241" s="3033" t="s">
        <v>3316</v>
      </c>
      <c r="E241" s="1746" t="s">
        <v>3317</v>
      </c>
      <c r="F241" s="556"/>
      <c r="G241" s="583"/>
      <c r="H241" s="556"/>
      <c r="I241" s="1800"/>
      <c r="J241" s="1800"/>
      <c r="K241" s="557">
        <f>K242</f>
        <v>38</v>
      </c>
      <c r="L241" s="589">
        <f>SUM(L242:L243)</f>
        <v>1</v>
      </c>
      <c r="M241" s="567"/>
      <c r="N241" s="562">
        <f>SUM(N242:N243)</f>
        <v>0</v>
      </c>
      <c r="O241" s="3169">
        <f>IF(Q241&gt;0,N241,"na")</f>
        <v>0</v>
      </c>
      <c r="P241" s="557">
        <f>SUM(P242:P243)</f>
        <v>245336557</v>
      </c>
      <c r="Q241" s="557">
        <f t="shared" ref="Q241:S241" si="97">SUM(Q242:Q243)</f>
        <v>245336557</v>
      </c>
      <c r="R241" s="557">
        <f t="shared" si="97"/>
        <v>0</v>
      </c>
      <c r="S241" s="557">
        <f t="shared" si="97"/>
        <v>0</v>
      </c>
      <c r="T241" s="1874">
        <f t="shared" ref="T241:U243" si="98">IF(Q241=0,0,R241/Q241)</f>
        <v>0</v>
      </c>
      <c r="U241" s="1874">
        <f t="shared" si="98"/>
        <v>0</v>
      </c>
      <c r="V241" s="1795">
        <v>45337</v>
      </c>
      <c r="W241" s="1795">
        <v>45657</v>
      </c>
      <c r="X241" s="1847"/>
      <c r="Y241" s="2926" t="s">
        <v>2841</v>
      </c>
    </row>
    <row r="242" spans="1:25" ht="66">
      <c r="A242" s="2928"/>
      <c r="B242" s="2928"/>
      <c r="C242" s="2928"/>
      <c r="D242" s="3033"/>
      <c r="E242" s="549" t="s">
        <v>3318</v>
      </c>
      <c r="F242" s="556"/>
      <c r="G242" s="583" t="s">
        <v>3315</v>
      </c>
      <c r="H242" s="556"/>
      <c r="I242" s="583" t="s">
        <v>3319</v>
      </c>
      <c r="J242" s="583" t="s">
        <v>120</v>
      </c>
      <c r="K242" s="557">
        <v>38</v>
      </c>
      <c r="L242" s="589">
        <v>0.8</v>
      </c>
      <c r="M242" s="567">
        <v>0</v>
      </c>
      <c r="N242" s="562">
        <v>0</v>
      </c>
      <c r="O242" s="3169"/>
      <c r="P242" s="1888">
        <v>233812100</v>
      </c>
      <c r="Q242" s="1888">
        <v>233812100</v>
      </c>
      <c r="R242" s="1888">
        <v>0</v>
      </c>
      <c r="S242" s="1888">
        <v>0</v>
      </c>
      <c r="T242" s="1874">
        <f t="shared" si="98"/>
        <v>0</v>
      </c>
      <c r="U242" s="1874">
        <f t="shared" si="98"/>
        <v>0</v>
      </c>
      <c r="V242" s="1795"/>
      <c r="W242" s="1795"/>
      <c r="X242" s="1800"/>
      <c r="Y242" s="2926"/>
    </row>
    <row r="243" spans="1:25" ht="52.8">
      <c r="A243" s="2928"/>
      <c r="B243" s="2928"/>
      <c r="C243" s="2928"/>
      <c r="D243" s="3033"/>
      <c r="E243" s="549" t="s">
        <v>3320</v>
      </c>
      <c r="F243" s="556"/>
      <c r="G243" s="583"/>
      <c r="H243" s="556"/>
      <c r="I243" s="583" t="s">
        <v>3321</v>
      </c>
      <c r="J243" s="583" t="s">
        <v>2847</v>
      </c>
      <c r="K243" s="557">
        <v>1</v>
      </c>
      <c r="L243" s="589">
        <v>0.2</v>
      </c>
      <c r="M243" s="567">
        <v>0</v>
      </c>
      <c r="N243" s="562">
        <v>0</v>
      </c>
      <c r="O243" s="3169"/>
      <c r="P243" s="1888">
        <v>11524457</v>
      </c>
      <c r="Q243" s="1888">
        <v>11524457</v>
      </c>
      <c r="R243" s="1888">
        <v>0</v>
      </c>
      <c r="S243" s="1888">
        <v>0</v>
      </c>
      <c r="T243" s="1874">
        <f t="shared" si="98"/>
        <v>0</v>
      </c>
      <c r="U243" s="1874">
        <f t="shared" si="98"/>
        <v>0</v>
      </c>
      <c r="V243" s="1795"/>
      <c r="W243" s="1795"/>
      <c r="X243" s="1800"/>
      <c r="Y243" s="2926"/>
    </row>
    <row r="244" spans="1:25" ht="27.6">
      <c r="A244" s="555"/>
      <c r="B244" s="222">
        <v>52050020009</v>
      </c>
      <c r="C244" s="222" t="s">
        <v>117</v>
      </c>
      <c r="D244" s="217" t="s">
        <v>3322</v>
      </c>
      <c r="E244" s="549"/>
      <c r="F244" s="556"/>
      <c r="G244" s="583"/>
      <c r="H244" s="556"/>
      <c r="I244" s="1800"/>
      <c r="J244" s="1800"/>
      <c r="K244" s="557">
        <f>K245</f>
        <v>15</v>
      </c>
      <c r="L244" s="589"/>
      <c r="M244" s="567"/>
      <c r="N244" s="562"/>
      <c r="O244" s="562"/>
      <c r="P244" s="557"/>
      <c r="Q244" s="557"/>
      <c r="R244" s="557"/>
      <c r="S244" s="557"/>
      <c r="T244" s="562"/>
      <c r="U244" s="562"/>
      <c r="V244" s="1795"/>
      <c r="W244" s="1795"/>
      <c r="X244" s="1800"/>
      <c r="Y244" s="555"/>
    </row>
    <row r="245" spans="1:25">
      <c r="A245" s="2928">
        <v>4148</v>
      </c>
      <c r="B245" s="2928"/>
      <c r="C245" s="2928" t="s">
        <v>123</v>
      </c>
      <c r="D245" s="3033" t="s">
        <v>3323</v>
      </c>
      <c r="E245" s="1746" t="s">
        <v>3324</v>
      </c>
      <c r="F245" s="556"/>
      <c r="G245" s="583"/>
      <c r="H245" s="556"/>
      <c r="I245" s="1800"/>
      <c r="J245" s="1800"/>
      <c r="K245" s="557">
        <f>K248</f>
        <v>15</v>
      </c>
      <c r="L245" s="589">
        <f>SUM(L246:L248)</f>
        <v>1</v>
      </c>
      <c r="M245" s="567"/>
      <c r="N245" s="562">
        <f>SUM(N246:N248)</f>
        <v>0</v>
      </c>
      <c r="O245" s="3169">
        <f>IF(Q245&gt;0,N245,"na")</f>
        <v>0</v>
      </c>
      <c r="P245" s="557">
        <f>SUM(P246:P248)</f>
        <v>300000000</v>
      </c>
      <c r="Q245" s="557">
        <f t="shared" ref="Q245:S245" si="99">SUM(Q246:Q248)</f>
        <v>300000000</v>
      </c>
      <c r="R245" s="557">
        <f t="shared" si="99"/>
        <v>0</v>
      </c>
      <c r="S245" s="557">
        <f t="shared" si="99"/>
        <v>0</v>
      </c>
      <c r="T245" s="1874">
        <f t="shared" ref="T245:U248" si="100">IF(Q245=0,0,R245/Q245)</f>
        <v>0</v>
      </c>
      <c r="U245" s="1874">
        <f t="shared" si="100"/>
        <v>0</v>
      </c>
      <c r="V245" s="1795">
        <v>45337</v>
      </c>
      <c r="W245" s="1795">
        <v>45657</v>
      </c>
      <c r="X245" s="1847"/>
      <c r="Y245" s="2926" t="s">
        <v>2841</v>
      </c>
    </row>
    <row r="246" spans="1:25" ht="79.2">
      <c r="A246" s="2928"/>
      <c r="B246" s="2928"/>
      <c r="C246" s="2928"/>
      <c r="D246" s="3033"/>
      <c r="E246" s="549" t="s">
        <v>3325</v>
      </c>
      <c r="F246" s="556"/>
      <c r="G246" s="583"/>
      <c r="H246" s="556"/>
      <c r="I246" s="583" t="s">
        <v>3326</v>
      </c>
      <c r="J246" s="583" t="s">
        <v>120</v>
      </c>
      <c r="K246" s="557">
        <v>20</v>
      </c>
      <c r="L246" s="589">
        <v>0.11</v>
      </c>
      <c r="M246" s="567">
        <v>0</v>
      </c>
      <c r="N246" s="562">
        <v>0</v>
      </c>
      <c r="O246" s="3169"/>
      <c r="P246" s="1888">
        <v>36650000</v>
      </c>
      <c r="Q246" s="1888">
        <v>36650000</v>
      </c>
      <c r="R246" s="1888">
        <v>0</v>
      </c>
      <c r="S246" s="1888">
        <v>0</v>
      </c>
      <c r="T246" s="1874">
        <f t="shared" si="100"/>
        <v>0</v>
      </c>
      <c r="U246" s="1874">
        <f t="shared" si="100"/>
        <v>0</v>
      </c>
      <c r="V246" s="1795"/>
      <c r="W246" s="1795"/>
      <c r="X246" s="1800"/>
      <c r="Y246" s="2926"/>
    </row>
    <row r="247" spans="1:25" ht="39.6">
      <c r="A247" s="2928"/>
      <c r="B247" s="2928"/>
      <c r="C247" s="2928"/>
      <c r="D247" s="3033"/>
      <c r="E247" s="549" t="s">
        <v>3327</v>
      </c>
      <c r="F247" s="556"/>
      <c r="G247" s="583"/>
      <c r="H247" s="556"/>
      <c r="I247" s="583" t="s">
        <v>3328</v>
      </c>
      <c r="J247" s="583" t="s">
        <v>3329</v>
      </c>
      <c r="K247" s="557">
        <v>1</v>
      </c>
      <c r="L247" s="589">
        <v>0.84</v>
      </c>
      <c r="M247" s="567">
        <v>0</v>
      </c>
      <c r="N247" s="562">
        <v>0</v>
      </c>
      <c r="O247" s="3169"/>
      <c r="P247" s="1888">
        <v>260700000</v>
      </c>
      <c r="Q247" s="1888">
        <v>260700000</v>
      </c>
      <c r="R247" s="1888">
        <v>0</v>
      </c>
      <c r="S247" s="1888">
        <v>0</v>
      </c>
      <c r="T247" s="1874">
        <f t="shared" si="100"/>
        <v>0</v>
      </c>
      <c r="U247" s="1874">
        <f t="shared" si="100"/>
        <v>0</v>
      </c>
      <c r="V247" s="1795"/>
      <c r="W247" s="1795"/>
      <c r="X247" s="1800"/>
      <c r="Y247" s="2926"/>
    </row>
    <row r="248" spans="1:25" ht="118.8">
      <c r="A248" s="2928"/>
      <c r="B248" s="2928"/>
      <c r="C248" s="2928"/>
      <c r="D248" s="3033"/>
      <c r="E248" s="549" t="s">
        <v>3330</v>
      </c>
      <c r="F248" s="556"/>
      <c r="G248" s="583" t="s">
        <v>3322</v>
      </c>
      <c r="H248" s="556"/>
      <c r="I248" s="583" t="s">
        <v>3331</v>
      </c>
      <c r="J248" s="583" t="s">
        <v>2885</v>
      </c>
      <c r="K248" s="557">
        <v>15</v>
      </c>
      <c r="L248" s="589">
        <v>0.05</v>
      </c>
      <c r="M248" s="567">
        <v>0</v>
      </c>
      <c r="N248" s="562">
        <v>0</v>
      </c>
      <c r="O248" s="3169"/>
      <c r="P248" s="1888">
        <v>2650000</v>
      </c>
      <c r="Q248" s="1888">
        <v>2650000</v>
      </c>
      <c r="R248" s="1888">
        <v>0</v>
      </c>
      <c r="S248" s="1888">
        <v>0</v>
      </c>
      <c r="T248" s="1874">
        <f t="shared" si="100"/>
        <v>0</v>
      </c>
      <c r="U248" s="1874">
        <f t="shared" si="100"/>
        <v>0</v>
      </c>
      <c r="V248" s="1795"/>
      <c r="W248" s="1795"/>
      <c r="X248" s="1800"/>
      <c r="Y248" s="2926"/>
    </row>
    <row r="249" spans="1:25" ht="27.6">
      <c r="A249" s="555"/>
      <c r="B249" s="222">
        <v>52050020010</v>
      </c>
      <c r="C249" s="222" t="s">
        <v>117</v>
      </c>
      <c r="D249" s="217" t="s">
        <v>3332</v>
      </c>
      <c r="E249" s="549"/>
      <c r="F249" s="556"/>
      <c r="G249" s="583"/>
      <c r="H249" s="556"/>
      <c r="I249" s="1800"/>
      <c r="J249" s="1800"/>
      <c r="K249" s="557">
        <f>K250</f>
        <v>5</v>
      </c>
      <c r="L249" s="589"/>
      <c r="M249" s="567"/>
      <c r="N249" s="562"/>
      <c r="O249" s="562"/>
      <c r="P249" s="557"/>
      <c r="Q249" s="557"/>
      <c r="R249" s="557"/>
      <c r="S249" s="557"/>
      <c r="T249" s="562"/>
      <c r="U249" s="562"/>
      <c r="V249" s="1795"/>
      <c r="W249" s="1795"/>
      <c r="X249" s="1800"/>
      <c r="Y249" s="555"/>
    </row>
    <row r="250" spans="1:25">
      <c r="A250" s="2928">
        <v>4148</v>
      </c>
      <c r="B250" s="2928"/>
      <c r="C250" s="2928" t="s">
        <v>123</v>
      </c>
      <c r="D250" s="3033" t="s">
        <v>3333</v>
      </c>
      <c r="E250" s="1746" t="s">
        <v>3334</v>
      </c>
      <c r="F250" s="556"/>
      <c r="G250" s="583"/>
      <c r="H250" s="556"/>
      <c r="I250" s="1800"/>
      <c r="J250" s="1800"/>
      <c r="K250" s="557">
        <f>K251</f>
        <v>5</v>
      </c>
      <c r="L250" s="589">
        <f>SUM(L251:L252)</f>
        <v>1</v>
      </c>
      <c r="M250" s="567"/>
      <c r="N250" s="562">
        <f>SUM(N251:N252)</f>
        <v>0.05</v>
      </c>
      <c r="O250" s="3169">
        <f>IF(Q250&gt;0,N250,"na")</f>
        <v>0.05</v>
      </c>
      <c r="P250" s="557">
        <f>SUM(P251:P252)</f>
        <v>1583429624</v>
      </c>
      <c r="Q250" s="557">
        <f t="shared" ref="Q250:S250" si="101">SUM(Q251:Q252)</f>
        <v>1583429624</v>
      </c>
      <c r="R250" s="557">
        <f t="shared" si="101"/>
        <v>775622954</v>
      </c>
      <c r="S250" s="557">
        <f t="shared" si="101"/>
        <v>54248500</v>
      </c>
      <c r="T250" s="1874">
        <f t="shared" ref="T250:U252" si="102">IF(Q250=0,0,R250/Q250)</f>
        <v>0.4898373393069726</v>
      </c>
      <c r="U250" s="1874">
        <f t="shared" si="102"/>
        <v>6.9941844449332782E-2</v>
      </c>
      <c r="V250" s="1795"/>
      <c r="W250" s="1795"/>
      <c r="X250" s="1847"/>
      <c r="Y250" s="2926" t="s">
        <v>2841</v>
      </c>
    </row>
    <row r="251" spans="1:25" ht="158.4">
      <c r="A251" s="2928"/>
      <c r="B251" s="2928"/>
      <c r="C251" s="2928"/>
      <c r="D251" s="3033"/>
      <c r="E251" s="549" t="s">
        <v>3335</v>
      </c>
      <c r="F251" s="556"/>
      <c r="G251" s="583" t="s">
        <v>3332</v>
      </c>
      <c r="H251" s="556"/>
      <c r="I251" s="583" t="s">
        <v>3336</v>
      </c>
      <c r="J251" s="583" t="s">
        <v>2847</v>
      </c>
      <c r="K251" s="557">
        <v>5</v>
      </c>
      <c r="L251" s="589">
        <v>0.8</v>
      </c>
      <c r="M251" s="567">
        <v>0</v>
      </c>
      <c r="N251" s="562">
        <v>0.05</v>
      </c>
      <c r="O251" s="3169"/>
      <c r="P251" s="1888">
        <v>1491607418</v>
      </c>
      <c r="Q251" s="1888">
        <v>1491607418</v>
      </c>
      <c r="R251" s="1888">
        <v>775622954</v>
      </c>
      <c r="S251" s="1888">
        <v>54248500</v>
      </c>
      <c r="T251" s="1874">
        <f t="shared" si="102"/>
        <v>0.51999134935919178</v>
      </c>
      <c r="U251" s="1874">
        <f t="shared" si="102"/>
        <v>6.9941844449332782E-2</v>
      </c>
      <c r="V251" s="1795">
        <v>45323</v>
      </c>
      <c r="W251" s="1795">
        <v>45412</v>
      </c>
      <c r="X251" s="1800" t="s">
        <v>3337</v>
      </c>
      <c r="Y251" s="2926"/>
    </row>
    <row r="252" spans="1:25" ht="52.8">
      <c r="A252" s="2928"/>
      <c r="B252" s="2928"/>
      <c r="C252" s="2928"/>
      <c r="D252" s="3033"/>
      <c r="E252" s="549" t="s">
        <v>3338</v>
      </c>
      <c r="F252" s="556"/>
      <c r="G252" s="583"/>
      <c r="H252" s="556"/>
      <c r="I252" s="583" t="s">
        <v>3339</v>
      </c>
      <c r="J252" s="583" t="s">
        <v>2902</v>
      </c>
      <c r="K252" s="557">
        <v>25</v>
      </c>
      <c r="L252" s="589">
        <v>0.2</v>
      </c>
      <c r="M252" s="567">
        <v>0</v>
      </c>
      <c r="N252" s="562">
        <v>0</v>
      </c>
      <c r="O252" s="3169"/>
      <c r="P252" s="1888">
        <v>91822206</v>
      </c>
      <c r="Q252" s="1888">
        <v>91822206</v>
      </c>
      <c r="R252" s="1888">
        <v>0</v>
      </c>
      <c r="S252" s="1888">
        <v>0</v>
      </c>
      <c r="T252" s="1874">
        <f t="shared" si="102"/>
        <v>0</v>
      </c>
      <c r="U252" s="1874">
        <f t="shared" si="102"/>
        <v>0</v>
      </c>
      <c r="V252" s="1795"/>
      <c r="W252" s="1795"/>
      <c r="X252" s="1800"/>
      <c r="Y252" s="2926"/>
    </row>
    <row r="253" spans="1:25" ht="27.6">
      <c r="A253" s="555"/>
      <c r="B253" s="222">
        <v>52050020012</v>
      </c>
      <c r="C253" s="222" t="s">
        <v>117</v>
      </c>
      <c r="D253" s="217" t="s">
        <v>3340</v>
      </c>
      <c r="E253" s="549"/>
      <c r="F253" s="556"/>
      <c r="G253" s="583"/>
      <c r="H253" s="556"/>
      <c r="I253" s="1800"/>
      <c r="J253" s="1800"/>
      <c r="K253" s="557">
        <f>K254</f>
        <v>1002</v>
      </c>
      <c r="L253" s="589"/>
      <c r="M253" s="567"/>
      <c r="N253" s="562"/>
      <c r="O253" s="562"/>
      <c r="P253" s="557"/>
      <c r="Q253" s="557"/>
      <c r="R253" s="557"/>
      <c r="S253" s="557"/>
      <c r="T253" s="562"/>
      <c r="U253" s="562"/>
      <c r="V253" s="1795"/>
      <c r="W253" s="1795"/>
      <c r="X253" s="1800"/>
      <c r="Y253" s="555"/>
    </row>
    <row r="254" spans="1:25">
      <c r="A254" s="2928">
        <v>4148</v>
      </c>
      <c r="B254" s="2928"/>
      <c r="C254" s="2928" t="s">
        <v>123</v>
      </c>
      <c r="D254" s="3033" t="s">
        <v>3341</v>
      </c>
      <c r="E254" s="1746" t="s">
        <v>3342</v>
      </c>
      <c r="F254" s="556"/>
      <c r="G254" s="583"/>
      <c r="H254" s="556"/>
      <c r="I254" s="1800"/>
      <c r="J254" s="1800"/>
      <c r="K254" s="557">
        <f>K255</f>
        <v>1002</v>
      </c>
      <c r="L254" s="589">
        <f>SUM(L255:L257)</f>
        <v>1</v>
      </c>
      <c r="M254" s="567"/>
      <c r="N254" s="562">
        <f>SUM(N255:N257)</f>
        <v>0</v>
      </c>
      <c r="O254" s="3169">
        <f>IF(Q254&gt;0,N254,"na")</f>
        <v>0</v>
      </c>
      <c r="P254" s="557">
        <f>SUM(P255:P257)</f>
        <v>3559771618</v>
      </c>
      <c r="Q254" s="557">
        <f t="shared" ref="Q254:S254" si="103">SUM(Q255:Q257)</f>
        <v>3559771618</v>
      </c>
      <c r="R254" s="557">
        <f t="shared" si="103"/>
        <v>0</v>
      </c>
      <c r="S254" s="557">
        <f t="shared" si="103"/>
        <v>0</v>
      </c>
      <c r="T254" s="1874">
        <f t="shared" ref="T254:U257" si="104">IF(Q254=0,0,R254/Q254)</f>
        <v>0</v>
      </c>
      <c r="U254" s="1874">
        <f t="shared" si="104"/>
        <v>0</v>
      </c>
      <c r="V254" s="1795">
        <v>45397</v>
      </c>
      <c r="W254" s="1795">
        <v>45657</v>
      </c>
      <c r="X254" s="1847"/>
      <c r="Y254" s="2926" t="s">
        <v>2841</v>
      </c>
    </row>
    <row r="255" spans="1:25" ht="66">
      <c r="A255" s="2928"/>
      <c r="B255" s="2928"/>
      <c r="C255" s="2928"/>
      <c r="D255" s="3033"/>
      <c r="E255" s="549" t="s">
        <v>3343</v>
      </c>
      <c r="F255" s="556"/>
      <c r="G255" s="583" t="s">
        <v>3340</v>
      </c>
      <c r="H255" s="556"/>
      <c r="I255" s="583" t="s">
        <v>3344</v>
      </c>
      <c r="J255" s="583" t="s">
        <v>120</v>
      </c>
      <c r="K255" s="557">
        <v>1002</v>
      </c>
      <c r="L255" s="589">
        <v>0.47</v>
      </c>
      <c r="M255" s="567">
        <v>0</v>
      </c>
      <c r="N255" s="562">
        <v>0</v>
      </c>
      <c r="O255" s="3169"/>
      <c r="P255" s="1888">
        <v>1690344164</v>
      </c>
      <c r="Q255" s="1888">
        <v>1690344164</v>
      </c>
      <c r="R255" s="1888">
        <v>0</v>
      </c>
      <c r="S255" s="1888">
        <v>0</v>
      </c>
      <c r="T255" s="1874">
        <f t="shared" si="104"/>
        <v>0</v>
      </c>
      <c r="U255" s="1874">
        <f t="shared" si="104"/>
        <v>0</v>
      </c>
      <c r="V255" s="1795"/>
      <c r="W255" s="1795"/>
      <c r="X255" s="1800"/>
      <c r="Y255" s="2926"/>
    </row>
    <row r="256" spans="1:25" ht="39.6">
      <c r="A256" s="2928"/>
      <c r="B256" s="2928"/>
      <c r="C256" s="2928"/>
      <c r="D256" s="3033"/>
      <c r="E256" s="549" t="s">
        <v>3345</v>
      </c>
      <c r="F256" s="556"/>
      <c r="G256" s="583"/>
      <c r="H256" s="556"/>
      <c r="I256" s="583" t="s">
        <v>3346</v>
      </c>
      <c r="J256" s="583" t="s">
        <v>2954</v>
      </c>
      <c r="K256" s="557">
        <v>4</v>
      </c>
      <c r="L256" s="589">
        <v>0.1</v>
      </c>
      <c r="M256" s="567">
        <v>0</v>
      </c>
      <c r="N256" s="562">
        <v>0</v>
      </c>
      <c r="O256" s="3169"/>
      <c r="P256" s="1888">
        <v>353412551</v>
      </c>
      <c r="Q256" s="1888">
        <v>353412551</v>
      </c>
      <c r="R256" s="1888">
        <v>0</v>
      </c>
      <c r="S256" s="1888">
        <v>0</v>
      </c>
      <c r="T256" s="1874">
        <f t="shared" si="104"/>
        <v>0</v>
      </c>
      <c r="U256" s="1874">
        <f t="shared" si="104"/>
        <v>0</v>
      </c>
      <c r="V256" s="1795"/>
      <c r="W256" s="1795"/>
      <c r="X256" s="1800"/>
      <c r="Y256" s="2926"/>
    </row>
    <row r="257" spans="1:25" ht="52.8">
      <c r="A257" s="2928"/>
      <c r="B257" s="2928"/>
      <c r="C257" s="2928"/>
      <c r="D257" s="3033"/>
      <c r="E257" s="549" t="s">
        <v>3347</v>
      </c>
      <c r="F257" s="556"/>
      <c r="G257" s="583"/>
      <c r="H257" s="556"/>
      <c r="I257" s="583" t="s">
        <v>3348</v>
      </c>
      <c r="J257" s="583" t="s">
        <v>2906</v>
      </c>
      <c r="K257" s="557">
        <v>4</v>
      </c>
      <c r="L257" s="589">
        <v>0.43</v>
      </c>
      <c r="M257" s="567">
        <v>0</v>
      </c>
      <c r="N257" s="562">
        <v>0</v>
      </c>
      <c r="O257" s="3169"/>
      <c r="P257" s="1888">
        <v>1516014903</v>
      </c>
      <c r="Q257" s="1888">
        <v>1516014903</v>
      </c>
      <c r="R257" s="1888">
        <v>0</v>
      </c>
      <c r="S257" s="1888">
        <v>0</v>
      </c>
      <c r="T257" s="1874">
        <f t="shared" si="104"/>
        <v>0</v>
      </c>
      <c r="U257" s="1874">
        <f t="shared" si="104"/>
        <v>0</v>
      </c>
      <c r="V257" s="1795"/>
      <c r="W257" s="1795"/>
      <c r="X257" s="1800"/>
      <c r="Y257" s="2926"/>
    </row>
    <row r="258" spans="1:25" ht="27.6">
      <c r="A258" s="555"/>
      <c r="B258" s="222">
        <v>52050020013</v>
      </c>
      <c r="C258" s="222" t="s">
        <v>117</v>
      </c>
      <c r="D258" s="217" t="s">
        <v>3349</v>
      </c>
      <c r="E258" s="549"/>
      <c r="F258" s="556"/>
      <c r="G258" s="583"/>
      <c r="H258" s="556"/>
      <c r="I258" s="1800"/>
      <c r="J258" s="1800"/>
      <c r="K258" s="812">
        <f>K259</f>
        <v>45</v>
      </c>
      <c r="L258" s="589"/>
      <c r="M258" s="567"/>
      <c r="N258" s="562"/>
      <c r="O258" s="562"/>
      <c r="P258" s="557"/>
      <c r="Q258" s="557"/>
      <c r="R258" s="557"/>
      <c r="S258" s="557"/>
      <c r="T258" s="562"/>
      <c r="U258" s="562"/>
      <c r="V258" s="1795"/>
      <c r="W258" s="1795"/>
      <c r="X258" s="1800"/>
      <c r="Y258" s="555"/>
    </row>
    <row r="259" spans="1:25">
      <c r="A259" s="2928">
        <v>4148</v>
      </c>
      <c r="B259" s="3173"/>
      <c r="C259" s="2928" t="s">
        <v>123</v>
      </c>
      <c r="D259" s="3033" t="s">
        <v>3350</v>
      </c>
      <c r="E259" s="1746" t="s">
        <v>3351</v>
      </c>
      <c r="F259" s="556"/>
      <c r="G259" s="583"/>
      <c r="H259" s="556"/>
      <c r="I259" s="1800"/>
      <c r="J259" s="1800"/>
      <c r="K259" s="557">
        <f>K260</f>
        <v>45</v>
      </c>
      <c r="L259" s="589">
        <f>L260</f>
        <v>1</v>
      </c>
      <c r="M259" s="567"/>
      <c r="N259" s="562">
        <f>N260</f>
        <v>0</v>
      </c>
      <c r="O259" s="3169">
        <f>IF(Q259&gt;0,N259,"na")</f>
        <v>0</v>
      </c>
      <c r="P259" s="557">
        <f>P260</f>
        <v>146967000</v>
      </c>
      <c r="Q259" s="557">
        <f t="shared" ref="Q259:S259" si="105">Q260</f>
        <v>146967000</v>
      </c>
      <c r="R259" s="557">
        <f t="shared" si="105"/>
        <v>0</v>
      </c>
      <c r="S259" s="557">
        <f t="shared" si="105"/>
        <v>0</v>
      </c>
      <c r="T259" s="1874">
        <f t="shared" ref="T259:U260" si="106">IF(Q259=0,0,R259/Q259)</f>
        <v>0</v>
      </c>
      <c r="U259" s="1874">
        <f t="shared" si="106"/>
        <v>0</v>
      </c>
      <c r="V259" s="1795" t="s">
        <v>3352</v>
      </c>
      <c r="W259" s="1795">
        <v>45657</v>
      </c>
      <c r="X259" s="1847"/>
      <c r="Y259" s="2926" t="s">
        <v>2841</v>
      </c>
    </row>
    <row r="260" spans="1:25" ht="92.4">
      <c r="A260" s="2928"/>
      <c r="B260" s="3173"/>
      <c r="C260" s="2928"/>
      <c r="D260" s="3033"/>
      <c r="E260" s="1746" t="s">
        <v>3353</v>
      </c>
      <c r="F260" s="556"/>
      <c r="G260" s="583" t="s">
        <v>3349</v>
      </c>
      <c r="H260" s="556"/>
      <c r="I260" s="583" t="s">
        <v>3354</v>
      </c>
      <c r="J260" s="583" t="s">
        <v>267</v>
      </c>
      <c r="K260" s="557">
        <v>45</v>
      </c>
      <c r="L260" s="589">
        <v>1</v>
      </c>
      <c r="M260" s="567">
        <v>0</v>
      </c>
      <c r="N260" s="562">
        <v>0</v>
      </c>
      <c r="O260" s="3169"/>
      <c r="P260" s="1888">
        <v>146967000</v>
      </c>
      <c r="Q260" s="1888">
        <v>146967000</v>
      </c>
      <c r="R260" s="1888">
        <v>0</v>
      </c>
      <c r="S260" s="1888">
        <v>0</v>
      </c>
      <c r="T260" s="1874">
        <f t="shared" si="106"/>
        <v>0</v>
      </c>
      <c r="U260" s="1874">
        <f t="shared" si="106"/>
        <v>0</v>
      </c>
      <c r="V260" s="1795"/>
      <c r="W260" s="1795"/>
      <c r="X260" s="1847"/>
      <c r="Y260" s="2926"/>
    </row>
    <row r="261" spans="1:25" ht="27.6">
      <c r="A261" s="555"/>
      <c r="B261" s="222">
        <v>52050020014</v>
      </c>
      <c r="C261" s="222" t="s">
        <v>117</v>
      </c>
      <c r="D261" s="217" t="s">
        <v>3355</v>
      </c>
      <c r="E261" s="549"/>
      <c r="F261" s="556"/>
      <c r="G261" s="583"/>
      <c r="H261" s="556"/>
      <c r="I261" s="1800"/>
      <c r="J261" s="1800"/>
      <c r="K261" s="557">
        <f>K262+K265</f>
        <v>4</v>
      </c>
      <c r="L261" s="589"/>
      <c r="M261" s="567"/>
      <c r="N261" s="562"/>
      <c r="O261" s="562"/>
      <c r="P261" s="557"/>
      <c r="Q261" s="557"/>
      <c r="R261" s="557"/>
      <c r="S261" s="557"/>
      <c r="T261" s="562"/>
      <c r="U261" s="562"/>
      <c r="V261" s="1795"/>
      <c r="W261" s="1795"/>
      <c r="X261" s="1800"/>
      <c r="Y261" s="555"/>
    </row>
    <row r="262" spans="1:25">
      <c r="A262" s="2928">
        <v>4148</v>
      </c>
      <c r="B262" s="2928"/>
      <c r="C262" s="2928" t="s">
        <v>123</v>
      </c>
      <c r="D262" s="3033" t="s">
        <v>3356</v>
      </c>
      <c r="E262" s="1746" t="s">
        <v>3357</v>
      </c>
      <c r="F262" s="556"/>
      <c r="G262" s="583"/>
      <c r="H262" s="556"/>
      <c r="I262" s="1800"/>
      <c r="J262" s="1800"/>
      <c r="K262" s="557">
        <f>K264</f>
        <v>1</v>
      </c>
      <c r="L262" s="589">
        <f>SUM(L263:L264)</f>
        <v>1</v>
      </c>
      <c r="M262" s="567"/>
      <c r="N262" s="562">
        <f>SUM(N263:N264)</f>
        <v>4.7E-2</v>
      </c>
      <c r="O262" s="3169">
        <f>IF(Q262&gt;0,N262,"na")</f>
        <v>4.7E-2</v>
      </c>
      <c r="P262" s="557">
        <f>SUM(P263:P264)</f>
        <v>70000000</v>
      </c>
      <c r="Q262" s="557">
        <f t="shared" ref="Q262:S262" si="107">SUM(Q263:Q264)</f>
        <v>70000000</v>
      </c>
      <c r="R262" s="557">
        <f t="shared" si="107"/>
        <v>11480000</v>
      </c>
      <c r="S262" s="557">
        <f t="shared" si="107"/>
        <v>4920000</v>
      </c>
      <c r="T262" s="1874">
        <f t="shared" ref="T262:U267" si="108">IF(Q262=0,0,R262/Q262)</f>
        <v>0.16400000000000001</v>
      </c>
      <c r="U262" s="1874">
        <f t="shared" si="108"/>
        <v>0.42857142857142855</v>
      </c>
      <c r="V262" s="1795"/>
      <c r="W262" s="1795"/>
      <c r="X262" s="1847"/>
      <c r="Y262" s="2926" t="s">
        <v>2841</v>
      </c>
    </row>
    <row r="263" spans="1:25" ht="66">
      <c r="A263" s="2928"/>
      <c r="B263" s="2928"/>
      <c r="C263" s="2928"/>
      <c r="D263" s="3033"/>
      <c r="E263" s="549" t="s">
        <v>3358</v>
      </c>
      <c r="F263" s="556"/>
      <c r="G263" s="583"/>
      <c r="H263" s="556"/>
      <c r="I263" s="583" t="s">
        <v>3359</v>
      </c>
      <c r="J263" s="583" t="s">
        <v>2856</v>
      </c>
      <c r="K263" s="557">
        <v>2</v>
      </c>
      <c r="L263" s="589">
        <v>0.7</v>
      </c>
      <c r="M263" s="567">
        <v>0</v>
      </c>
      <c r="N263" s="562">
        <v>4.7E-2</v>
      </c>
      <c r="O263" s="3169"/>
      <c r="P263" s="1888">
        <v>52643900</v>
      </c>
      <c r="Q263" s="1888">
        <v>52643900</v>
      </c>
      <c r="R263" s="1888">
        <v>11480000</v>
      </c>
      <c r="S263" s="1888">
        <v>4920000</v>
      </c>
      <c r="T263" s="1874">
        <f t="shared" si="108"/>
        <v>0.21806895005879123</v>
      </c>
      <c r="U263" s="1874">
        <f t="shared" si="108"/>
        <v>0.42857142857142855</v>
      </c>
      <c r="V263" s="1795">
        <v>45323</v>
      </c>
      <c r="W263" s="1795">
        <v>45412</v>
      </c>
      <c r="X263" s="1800" t="s">
        <v>3360</v>
      </c>
      <c r="Y263" s="2926"/>
    </row>
    <row r="264" spans="1:25" ht="105.6">
      <c r="A264" s="2928"/>
      <c r="B264" s="2928"/>
      <c r="C264" s="2928"/>
      <c r="D264" s="3033"/>
      <c r="E264" s="549" t="s">
        <v>3361</v>
      </c>
      <c r="F264" s="556"/>
      <c r="G264" s="583" t="s">
        <v>3355</v>
      </c>
      <c r="H264" s="556"/>
      <c r="I264" s="583" t="s">
        <v>3362</v>
      </c>
      <c r="J264" s="583" t="s">
        <v>3363</v>
      </c>
      <c r="K264" s="557">
        <v>1</v>
      </c>
      <c r="L264" s="589">
        <v>0.3</v>
      </c>
      <c r="M264" s="567">
        <v>0</v>
      </c>
      <c r="N264" s="562">
        <v>0</v>
      </c>
      <c r="O264" s="3169"/>
      <c r="P264" s="1888">
        <v>17356100</v>
      </c>
      <c r="Q264" s="1888">
        <v>17356100</v>
      </c>
      <c r="R264" s="1888">
        <v>0</v>
      </c>
      <c r="S264" s="1888">
        <v>0</v>
      </c>
      <c r="T264" s="1874">
        <f t="shared" si="108"/>
        <v>0</v>
      </c>
      <c r="U264" s="1874">
        <f t="shared" si="108"/>
        <v>0</v>
      </c>
      <c r="V264" s="1795"/>
      <c r="W264" s="1795"/>
      <c r="X264" s="1800"/>
      <c r="Y264" s="2926"/>
    </row>
    <row r="265" spans="1:25">
      <c r="A265" s="2928">
        <v>4148</v>
      </c>
      <c r="B265" s="2928"/>
      <c r="C265" s="2928" t="s">
        <v>123</v>
      </c>
      <c r="D265" s="3033" t="s">
        <v>3364</v>
      </c>
      <c r="E265" s="1746" t="s">
        <v>3365</v>
      </c>
      <c r="F265" s="556"/>
      <c r="G265" s="583"/>
      <c r="H265" s="556"/>
      <c r="I265" s="1800"/>
      <c r="J265" s="1800"/>
      <c r="K265" s="557">
        <f>K266</f>
        <v>3</v>
      </c>
      <c r="L265" s="589">
        <f>SUM(L266:L267)</f>
        <v>1</v>
      </c>
      <c r="M265" s="567"/>
      <c r="N265" s="562">
        <f>SUM(N266:N267)</f>
        <v>0</v>
      </c>
      <c r="O265" s="3169">
        <f>IF(Q265&gt;0,N265,"na")</f>
        <v>0</v>
      </c>
      <c r="P265" s="557">
        <f>SUM(P266:P267)</f>
        <v>1163400954</v>
      </c>
      <c r="Q265" s="557">
        <f t="shared" ref="Q265:S265" si="109">SUM(Q266:Q267)</f>
        <v>1163400954</v>
      </c>
      <c r="R265" s="557">
        <f t="shared" si="109"/>
        <v>0</v>
      </c>
      <c r="S265" s="557">
        <f t="shared" si="109"/>
        <v>0</v>
      </c>
      <c r="T265" s="1874">
        <f t="shared" si="108"/>
        <v>0</v>
      </c>
      <c r="U265" s="1874">
        <f t="shared" si="108"/>
        <v>0</v>
      </c>
      <c r="V265" s="1795">
        <v>45397</v>
      </c>
      <c r="W265" s="1795">
        <v>45657</v>
      </c>
      <c r="X265" s="1847"/>
      <c r="Y265" s="2926" t="s">
        <v>2841</v>
      </c>
    </row>
    <row r="266" spans="1:25" ht="105.6">
      <c r="A266" s="2928"/>
      <c r="B266" s="2928"/>
      <c r="C266" s="2928"/>
      <c r="D266" s="3033"/>
      <c r="E266" s="549" t="s">
        <v>3366</v>
      </c>
      <c r="F266" s="556"/>
      <c r="G266" s="583" t="s">
        <v>3355</v>
      </c>
      <c r="H266" s="556"/>
      <c r="I266" s="583" t="s">
        <v>3367</v>
      </c>
      <c r="J266" s="583" t="s">
        <v>3363</v>
      </c>
      <c r="K266" s="557">
        <v>3</v>
      </c>
      <c r="L266" s="589">
        <v>0.74</v>
      </c>
      <c r="M266" s="567">
        <v>0</v>
      </c>
      <c r="N266" s="562">
        <v>0</v>
      </c>
      <c r="O266" s="3169"/>
      <c r="P266" s="1888">
        <v>860921532</v>
      </c>
      <c r="Q266" s="1888">
        <v>860921532</v>
      </c>
      <c r="R266" s="1888">
        <v>0</v>
      </c>
      <c r="S266" s="1888">
        <v>0</v>
      </c>
      <c r="T266" s="1874">
        <f t="shared" si="108"/>
        <v>0</v>
      </c>
      <c r="U266" s="1874">
        <f t="shared" si="108"/>
        <v>0</v>
      </c>
      <c r="V266" s="1795"/>
      <c r="W266" s="1795"/>
      <c r="X266" s="1800"/>
      <c r="Y266" s="2926"/>
    </row>
    <row r="267" spans="1:25" ht="52.8">
      <c r="A267" s="2928"/>
      <c r="B267" s="2928"/>
      <c r="C267" s="2928"/>
      <c r="D267" s="3033"/>
      <c r="E267" s="549" t="s">
        <v>3368</v>
      </c>
      <c r="F267" s="556"/>
      <c r="G267" s="583"/>
      <c r="H267" s="556"/>
      <c r="I267" s="583" t="s">
        <v>3369</v>
      </c>
      <c r="J267" s="583" t="s">
        <v>2856</v>
      </c>
      <c r="K267" s="557">
        <v>32</v>
      </c>
      <c r="L267" s="589">
        <v>0.26</v>
      </c>
      <c r="M267" s="567">
        <v>0</v>
      </c>
      <c r="N267" s="562">
        <v>0</v>
      </c>
      <c r="O267" s="3169"/>
      <c r="P267" s="1888">
        <v>302479422</v>
      </c>
      <c r="Q267" s="1888">
        <v>302479422</v>
      </c>
      <c r="R267" s="1888">
        <v>0</v>
      </c>
      <c r="S267" s="1888">
        <v>0</v>
      </c>
      <c r="T267" s="1874">
        <f t="shared" si="108"/>
        <v>0</v>
      </c>
      <c r="U267" s="1874">
        <f t="shared" si="108"/>
        <v>0</v>
      </c>
      <c r="V267" s="1795"/>
      <c r="W267" s="1795"/>
      <c r="X267" s="1800"/>
      <c r="Y267" s="2926"/>
    </row>
    <row r="268" spans="1:25" ht="15.6">
      <c r="A268" s="555"/>
      <c r="B268" s="1791">
        <v>54</v>
      </c>
      <c r="C268" s="1791" t="s">
        <v>114</v>
      </c>
      <c r="D268" s="1863" t="s">
        <v>201</v>
      </c>
      <c r="E268" s="549"/>
      <c r="F268" s="556"/>
      <c r="G268" s="583"/>
      <c r="H268" s="556"/>
      <c r="I268" s="583"/>
      <c r="J268" s="583"/>
      <c r="K268" s="557"/>
      <c r="L268" s="589"/>
      <c r="M268" s="567"/>
      <c r="N268" s="562"/>
      <c r="O268" s="562"/>
      <c r="P268" s="1888"/>
      <c r="Q268" s="1888"/>
      <c r="R268" s="1888"/>
      <c r="S268" s="1888"/>
      <c r="T268" s="1877"/>
      <c r="U268" s="1877"/>
      <c r="V268" s="1795"/>
      <c r="W268" s="1795"/>
      <c r="X268" s="1800"/>
      <c r="Y268" s="226"/>
    </row>
    <row r="269" spans="1:25">
      <c r="A269" s="555"/>
      <c r="B269" s="214">
        <v>5402</v>
      </c>
      <c r="C269" s="214" t="s">
        <v>115</v>
      </c>
      <c r="D269" s="1864" t="s">
        <v>118</v>
      </c>
      <c r="E269" s="549"/>
      <c r="F269" s="556"/>
      <c r="G269" s="583"/>
      <c r="H269" s="556"/>
      <c r="I269" s="583"/>
      <c r="J269" s="583"/>
      <c r="K269" s="557"/>
      <c r="L269" s="589"/>
      <c r="M269" s="567"/>
      <c r="N269" s="562"/>
      <c r="O269" s="562"/>
      <c r="P269" s="1888"/>
      <c r="Q269" s="1888"/>
      <c r="R269" s="1888"/>
      <c r="S269" s="1888"/>
      <c r="T269" s="1877"/>
      <c r="U269" s="1877"/>
      <c r="V269" s="1795"/>
      <c r="W269" s="1795"/>
      <c r="X269" s="1800"/>
      <c r="Y269" s="226"/>
    </row>
    <row r="270" spans="1:25">
      <c r="A270" s="555"/>
      <c r="B270" s="214">
        <v>5402001</v>
      </c>
      <c r="C270" s="214" t="s">
        <v>3370</v>
      </c>
      <c r="D270" s="1864" t="s">
        <v>119</v>
      </c>
      <c r="E270" s="549"/>
      <c r="F270" s="556"/>
      <c r="G270" s="583"/>
      <c r="H270" s="556"/>
      <c r="I270" s="583"/>
      <c r="J270" s="583"/>
      <c r="K270" s="557"/>
      <c r="L270" s="589"/>
      <c r="M270" s="567"/>
      <c r="N270" s="562"/>
      <c r="O270" s="562"/>
      <c r="P270" s="1888"/>
      <c r="Q270" s="1888"/>
      <c r="R270" s="1888"/>
      <c r="S270" s="1888"/>
      <c r="T270" s="1877"/>
      <c r="U270" s="1877"/>
      <c r="V270" s="1795"/>
      <c r="W270" s="1795"/>
      <c r="X270" s="1800"/>
      <c r="Y270" s="226"/>
    </row>
    <row r="271" spans="1:25" ht="27.6">
      <c r="A271" s="555"/>
      <c r="B271" s="222">
        <v>54020010006</v>
      </c>
      <c r="C271" s="222" t="s">
        <v>117</v>
      </c>
      <c r="D271" s="217" t="s">
        <v>3371</v>
      </c>
      <c r="E271" s="549"/>
      <c r="F271" s="556"/>
      <c r="G271" s="583"/>
      <c r="H271" s="556"/>
      <c r="I271" s="1800"/>
      <c r="J271" s="1800"/>
      <c r="K271" s="557">
        <f>K275</f>
        <v>1</v>
      </c>
      <c r="L271" s="589"/>
      <c r="M271" s="567"/>
      <c r="N271" s="562"/>
      <c r="O271" s="562"/>
      <c r="P271" s="557"/>
      <c r="Q271" s="557"/>
      <c r="R271" s="557"/>
      <c r="S271" s="557"/>
      <c r="T271" s="562"/>
      <c r="U271" s="562"/>
      <c r="V271" s="1795"/>
      <c r="W271" s="1795"/>
      <c r="X271" s="1800"/>
      <c r="Y271" s="555"/>
    </row>
    <row r="272" spans="1:25">
      <c r="A272" s="2928">
        <v>4148</v>
      </c>
      <c r="B272" s="2928"/>
      <c r="C272" s="2928" t="s">
        <v>123</v>
      </c>
      <c r="D272" s="3033" t="s">
        <v>3372</v>
      </c>
      <c r="E272" s="1746" t="s">
        <v>3373</v>
      </c>
      <c r="F272" s="556"/>
      <c r="G272" s="583"/>
      <c r="H272" s="556"/>
      <c r="I272" s="1800"/>
      <c r="J272" s="1800"/>
      <c r="K272" s="557">
        <v>1</v>
      </c>
      <c r="L272" s="589">
        <f>SUM(L273:L274)</f>
        <v>1</v>
      </c>
      <c r="M272" s="567"/>
      <c r="N272" s="562">
        <f>SUM(N273:N274)</f>
        <v>0.08</v>
      </c>
      <c r="O272" s="3169">
        <f>IF(Q272&gt;0,N272,"na")</f>
        <v>0.08</v>
      </c>
      <c r="P272" s="557">
        <f>SUM(P273:P274)</f>
        <v>558123600</v>
      </c>
      <c r="Q272" s="557">
        <f t="shared" ref="Q272:S272" si="110">SUM(Q273:Q274)</f>
        <v>558123600</v>
      </c>
      <c r="R272" s="557">
        <f t="shared" si="110"/>
        <v>164008000</v>
      </c>
      <c r="S272" s="557">
        <f t="shared" si="110"/>
        <v>118068000</v>
      </c>
      <c r="T272" s="1874">
        <f t="shared" ref="T272:U277" si="111">IF(Q272=0,0,R272/Q272)</f>
        <v>0.29385605625707278</v>
      </c>
      <c r="U272" s="1874">
        <f t="shared" si="111"/>
        <v>0.71989171259938545</v>
      </c>
      <c r="V272" s="1795"/>
      <c r="W272" s="1795"/>
      <c r="X272" s="1847"/>
      <c r="Y272" s="2926" t="s">
        <v>2863</v>
      </c>
    </row>
    <row r="273" spans="1:25" ht="132">
      <c r="A273" s="2928"/>
      <c r="B273" s="2928"/>
      <c r="C273" s="2928"/>
      <c r="D273" s="3033"/>
      <c r="E273" s="549" t="s">
        <v>3374</v>
      </c>
      <c r="F273" s="556"/>
      <c r="G273" s="583" t="s">
        <v>3371</v>
      </c>
      <c r="H273" s="556"/>
      <c r="I273" s="583" t="s">
        <v>3375</v>
      </c>
      <c r="J273" s="583" t="s">
        <v>3035</v>
      </c>
      <c r="K273" s="557">
        <v>72</v>
      </c>
      <c r="L273" s="589">
        <v>0.85</v>
      </c>
      <c r="M273" s="1819">
        <v>9</v>
      </c>
      <c r="N273" s="562">
        <v>7.0000000000000007E-2</v>
      </c>
      <c r="O273" s="3169"/>
      <c r="P273" s="1888">
        <v>473214976</v>
      </c>
      <c r="Q273" s="1888">
        <v>473214976</v>
      </c>
      <c r="R273" s="1888">
        <v>124569000</v>
      </c>
      <c r="S273" s="1888">
        <v>90296000</v>
      </c>
      <c r="T273" s="1874">
        <f t="shared" si="111"/>
        <v>0.26323976695107809</v>
      </c>
      <c r="U273" s="1874">
        <f t="shared" si="111"/>
        <v>0.72486734259727537</v>
      </c>
      <c r="V273" s="1795">
        <v>45322</v>
      </c>
      <c r="W273" s="1795">
        <v>45412</v>
      </c>
      <c r="X273" s="1800" t="s">
        <v>3376</v>
      </c>
      <c r="Y273" s="2926"/>
    </row>
    <row r="274" spans="1:25" ht="105.6">
      <c r="A274" s="2928"/>
      <c r="B274" s="2928"/>
      <c r="C274" s="2928"/>
      <c r="D274" s="3033"/>
      <c r="E274" s="549" t="s">
        <v>3377</v>
      </c>
      <c r="F274" s="556"/>
      <c r="G274" s="583"/>
      <c r="H274" s="556"/>
      <c r="I274" s="583" t="s">
        <v>3378</v>
      </c>
      <c r="J274" s="583" t="s">
        <v>2933</v>
      </c>
      <c r="K274" s="557">
        <v>12</v>
      </c>
      <c r="L274" s="589">
        <v>0.15</v>
      </c>
      <c r="M274" s="567">
        <v>2</v>
      </c>
      <c r="N274" s="562">
        <v>0.01</v>
      </c>
      <c r="O274" s="3169"/>
      <c r="P274" s="1888">
        <v>84908624</v>
      </c>
      <c r="Q274" s="1888">
        <v>84908624</v>
      </c>
      <c r="R274" s="1888">
        <v>39439000</v>
      </c>
      <c r="S274" s="1888">
        <v>27772000</v>
      </c>
      <c r="T274" s="1874">
        <f t="shared" si="111"/>
        <v>0.46448756489093501</v>
      </c>
      <c r="U274" s="1874">
        <f t="shared" si="111"/>
        <v>0.70417606937295574</v>
      </c>
      <c r="V274" s="1795">
        <v>45345</v>
      </c>
      <c r="W274" s="1795">
        <v>45412</v>
      </c>
      <c r="X274" s="1800" t="s">
        <v>3379</v>
      </c>
      <c r="Y274" s="2926"/>
    </row>
    <row r="275" spans="1:25">
      <c r="A275" s="2928">
        <v>4148</v>
      </c>
      <c r="B275" s="2928"/>
      <c r="C275" s="2928" t="s">
        <v>123</v>
      </c>
      <c r="D275" s="3033" t="s">
        <v>3380</v>
      </c>
      <c r="E275" s="1746" t="s">
        <v>3381</v>
      </c>
      <c r="F275" s="556"/>
      <c r="G275" s="583"/>
      <c r="H275" s="556"/>
      <c r="I275" s="1800"/>
      <c r="J275" s="1800"/>
      <c r="K275" s="557">
        <v>1</v>
      </c>
      <c r="L275" s="589">
        <f>SUM(L276:L277)</f>
        <v>1</v>
      </c>
      <c r="M275" s="567"/>
      <c r="N275" s="562">
        <f>SUM(N276:N277)</f>
        <v>0.15000000000000002</v>
      </c>
      <c r="O275" s="3169">
        <f>IF(Q275&gt;0,N275,"na")</f>
        <v>0.15000000000000002</v>
      </c>
      <c r="P275" s="557">
        <f>SUM(P276:P277)</f>
        <v>4002194404</v>
      </c>
      <c r="Q275" s="557">
        <f t="shared" ref="Q275:S275" si="112">SUM(Q276:Q277)</f>
        <v>4002194404</v>
      </c>
      <c r="R275" s="557">
        <f t="shared" si="112"/>
        <v>1655732250</v>
      </c>
      <c r="S275" s="557">
        <f t="shared" si="112"/>
        <v>949385250</v>
      </c>
      <c r="T275" s="1874">
        <f t="shared" si="111"/>
        <v>0.41370610291823295</v>
      </c>
      <c r="U275" s="1874">
        <f t="shared" si="111"/>
        <v>0.57339298065855759</v>
      </c>
      <c r="V275" s="1795"/>
      <c r="W275" s="1795"/>
      <c r="X275" s="1847"/>
      <c r="Y275" s="2926" t="s">
        <v>3301</v>
      </c>
    </row>
    <row r="276" spans="1:25" ht="132">
      <c r="A276" s="2928"/>
      <c r="B276" s="2928"/>
      <c r="C276" s="2928"/>
      <c r="D276" s="3033"/>
      <c r="E276" s="549" t="s">
        <v>3382</v>
      </c>
      <c r="F276" s="556"/>
      <c r="G276" s="3033" t="s">
        <v>3371</v>
      </c>
      <c r="H276" s="3168"/>
      <c r="I276" s="583" t="s">
        <v>3383</v>
      </c>
      <c r="J276" s="583" t="s">
        <v>1340</v>
      </c>
      <c r="K276" s="557">
        <v>1</v>
      </c>
      <c r="L276" s="589">
        <v>0.35</v>
      </c>
      <c r="M276" s="567">
        <v>0</v>
      </c>
      <c r="N276" s="562">
        <v>7.0000000000000007E-2</v>
      </c>
      <c r="O276" s="3169"/>
      <c r="P276" s="1888">
        <v>523174425</v>
      </c>
      <c r="Q276" s="1888">
        <v>523174425</v>
      </c>
      <c r="R276" s="1888">
        <v>315124500</v>
      </c>
      <c r="S276" s="1888">
        <v>172799500</v>
      </c>
      <c r="T276" s="1874">
        <f t="shared" si="111"/>
        <v>0.60233162200159152</v>
      </c>
      <c r="U276" s="1874">
        <f t="shared" si="111"/>
        <v>0.54835311123064057</v>
      </c>
      <c r="V276" s="1795" t="s">
        <v>3246</v>
      </c>
      <c r="W276" s="1795">
        <v>45412</v>
      </c>
      <c r="X276" s="583" t="s">
        <v>3384</v>
      </c>
      <c r="Y276" s="2926"/>
    </row>
    <row r="277" spans="1:25" ht="184.8">
      <c r="A277" s="2928"/>
      <c r="B277" s="2928"/>
      <c r="C277" s="2928"/>
      <c r="D277" s="3033"/>
      <c r="E277" s="549" t="s">
        <v>3385</v>
      </c>
      <c r="F277" s="556"/>
      <c r="G277" s="3033"/>
      <c r="H277" s="3168"/>
      <c r="I277" s="583" t="s">
        <v>3386</v>
      </c>
      <c r="J277" s="583" t="s">
        <v>2811</v>
      </c>
      <c r="K277" s="557">
        <v>1</v>
      </c>
      <c r="L277" s="589">
        <v>0.65</v>
      </c>
      <c r="M277" s="567">
        <v>0</v>
      </c>
      <c r="N277" s="562">
        <v>0.08</v>
      </c>
      <c r="O277" s="3169"/>
      <c r="P277" s="1888">
        <v>3479019979</v>
      </c>
      <c r="Q277" s="1888">
        <v>3479019979</v>
      </c>
      <c r="R277" s="1888">
        <v>1340607750</v>
      </c>
      <c r="S277" s="1888">
        <v>776585750</v>
      </c>
      <c r="T277" s="1874">
        <f t="shared" si="111"/>
        <v>0.38534062985902734</v>
      </c>
      <c r="U277" s="1874">
        <f t="shared" si="111"/>
        <v>0.57927887556968094</v>
      </c>
      <c r="V277" s="1795" t="s">
        <v>3387</v>
      </c>
      <c r="W277" s="1795">
        <v>45412</v>
      </c>
      <c r="X277" s="1800" t="s">
        <v>3388</v>
      </c>
      <c r="Y277" s="2926"/>
    </row>
    <row r="278" spans="1:25" ht="27.6">
      <c r="A278" s="555"/>
      <c r="B278" s="222">
        <v>54020010029</v>
      </c>
      <c r="C278" s="222" t="s">
        <v>117</v>
      </c>
      <c r="D278" s="217" t="s">
        <v>3389</v>
      </c>
      <c r="E278" s="549"/>
      <c r="F278" s="556"/>
      <c r="G278" s="583"/>
      <c r="H278" s="556"/>
      <c r="I278" s="1800"/>
      <c r="J278" s="1800"/>
      <c r="K278" s="557">
        <f>K279</f>
        <v>1</v>
      </c>
      <c r="L278" s="589"/>
      <c r="M278" s="567"/>
      <c r="N278" s="562"/>
      <c r="O278" s="562"/>
      <c r="P278" s="557"/>
      <c r="Q278" s="557"/>
      <c r="R278" s="557"/>
      <c r="S278" s="557"/>
      <c r="T278" s="562"/>
      <c r="U278" s="562"/>
      <c r="V278" s="1795"/>
      <c r="W278" s="1795"/>
      <c r="X278" s="1800"/>
      <c r="Y278" s="555"/>
    </row>
    <row r="279" spans="1:25">
      <c r="A279" s="2928">
        <v>4148</v>
      </c>
      <c r="B279" s="3173"/>
      <c r="C279" s="2928" t="s">
        <v>123</v>
      </c>
      <c r="D279" s="3033" t="s">
        <v>3390</v>
      </c>
      <c r="E279" s="1746" t="s">
        <v>3391</v>
      </c>
      <c r="F279" s="556"/>
      <c r="G279" s="583"/>
      <c r="H279" s="556"/>
      <c r="I279" s="1800"/>
      <c r="J279" s="1800"/>
      <c r="K279" s="557">
        <f>K280</f>
        <v>1</v>
      </c>
      <c r="L279" s="589">
        <f>L280</f>
        <v>1</v>
      </c>
      <c r="M279" s="567"/>
      <c r="N279" s="562">
        <f>N280</f>
        <v>0.02</v>
      </c>
      <c r="O279" s="3169">
        <f>IF(Q279&gt;0,N279,"na")</f>
        <v>0.02</v>
      </c>
      <c r="P279" s="557">
        <f>P280</f>
        <v>120000000</v>
      </c>
      <c r="Q279" s="557">
        <f t="shared" ref="Q279:S279" si="113">Q280</f>
        <v>120000000</v>
      </c>
      <c r="R279" s="557">
        <f t="shared" si="113"/>
        <v>10462000</v>
      </c>
      <c r="S279" s="557">
        <f t="shared" si="113"/>
        <v>5231000</v>
      </c>
      <c r="T279" s="1874">
        <f t="shared" ref="T279:U280" si="114">IF(Q279=0,0,R279/Q279)</f>
        <v>8.7183333333333335E-2</v>
      </c>
      <c r="U279" s="1874">
        <f t="shared" si="114"/>
        <v>0.5</v>
      </c>
      <c r="V279" s="1795"/>
      <c r="W279" s="1795"/>
      <c r="X279" s="1847"/>
      <c r="Y279" s="2926" t="s">
        <v>2863</v>
      </c>
    </row>
    <row r="280" spans="1:25" ht="118.8">
      <c r="A280" s="2928"/>
      <c r="B280" s="3173"/>
      <c r="C280" s="2928"/>
      <c r="D280" s="3033"/>
      <c r="E280" s="1746" t="s">
        <v>3392</v>
      </c>
      <c r="F280" s="556"/>
      <c r="G280" s="583" t="s">
        <v>3389</v>
      </c>
      <c r="H280" s="556"/>
      <c r="I280" s="583" t="s">
        <v>3393</v>
      </c>
      <c r="J280" s="583" t="s">
        <v>3394</v>
      </c>
      <c r="K280" s="557">
        <v>1</v>
      </c>
      <c r="L280" s="589">
        <v>1</v>
      </c>
      <c r="M280" s="567">
        <v>0</v>
      </c>
      <c r="N280" s="562">
        <v>0.02</v>
      </c>
      <c r="O280" s="3169"/>
      <c r="P280" s="1888">
        <v>120000000</v>
      </c>
      <c r="Q280" s="1888">
        <v>120000000</v>
      </c>
      <c r="R280" s="1888">
        <v>10462000</v>
      </c>
      <c r="S280" s="1888">
        <v>5231000</v>
      </c>
      <c r="T280" s="1874">
        <f t="shared" si="114"/>
        <v>8.7183333333333335E-2</v>
      </c>
      <c r="U280" s="1874">
        <f t="shared" si="114"/>
        <v>0.5</v>
      </c>
      <c r="V280" s="1795">
        <v>45351</v>
      </c>
      <c r="W280" s="1795">
        <v>45412</v>
      </c>
      <c r="X280" s="1847" t="s">
        <v>3395</v>
      </c>
      <c r="Y280" s="2926"/>
    </row>
    <row r="281" spans="1:25">
      <c r="A281" s="555"/>
      <c r="B281" s="214">
        <v>5402003</v>
      </c>
      <c r="C281" s="214" t="s">
        <v>3370</v>
      </c>
      <c r="D281" s="215" t="s">
        <v>254</v>
      </c>
      <c r="E281" s="549"/>
      <c r="F281" s="556"/>
      <c r="G281" s="583"/>
      <c r="H281" s="556"/>
      <c r="I281" s="1800"/>
      <c r="J281" s="1800"/>
      <c r="K281" s="557"/>
      <c r="L281" s="589"/>
      <c r="M281" s="567"/>
      <c r="N281" s="562"/>
      <c r="O281" s="562"/>
      <c r="P281" s="557"/>
      <c r="Q281" s="557"/>
      <c r="R281" s="557"/>
      <c r="S281" s="557"/>
      <c r="T281" s="562"/>
      <c r="U281" s="562"/>
      <c r="V281" s="1795"/>
      <c r="W281" s="1795"/>
      <c r="X281" s="1800"/>
      <c r="Y281" s="555"/>
    </row>
    <row r="282" spans="1:25">
      <c r="A282" s="555"/>
      <c r="B282" s="222">
        <v>54020030018</v>
      </c>
      <c r="C282" s="222" t="s">
        <v>117</v>
      </c>
      <c r="D282" s="217" t="s">
        <v>3396</v>
      </c>
      <c r="E282" s="549"/>
      <c r="F282" s="556"/>
      <c r="G282" s="583"/>
      <c r="H282" s="556"/>
      <c r="I282" s="1800"/>
      <c r="J282" s="1800"/>
      <c r="K282" s="557">
        <f>K283</f>
        <v>1</v>
      </c>
      <c r="L282" s="589"/>
      <c r="M282" s="567"/>
      <c r="N282" s="562"/>
      <c r="O282" s="562"/>
      <c r="P282" s="557"/>
      <c r="Q282" s="557"/>
      <c r="R282" s="557"/>
      <c r="S282" s="557"/>
      <c r="T282" s="562"/>
      <c r="U282" s="562"/>
      <c r="V282" s="1795"/>
      <c r="W282" s="1795"/>
      <c r="X282" s="1800"/>
      <c r="Y282" s="226"/>
    </row>
    <row r="283" spans="1:25">
      <c r="A283" s="2928">
        <v>4148</v>
      </c>
      <c r="B283" s="2928"/>
      <c r="C283" s="2928" t="s">
        <v>123</v>
      </c>
      <c r="D283" s="3033" t="s">
        <v>3397</v>
      </c>
      <c r="E283" s="1746" t="s">
        <v>3398</v>
      </c>
      <c r="F283" s="556"/>
      <c r="G283" s="583"/>
      <c r="H283" s="556"/>
      <c r="I283" s="1800"/>
      <c r="J283" s="1800"/>
      <c r="K283" s="557">
        <v>1</v>
      </c>
      <c r="L283" s="589">
        <f>SUM(L284:L285)</f>
        <v>1</v>
      </c>
      <c r="M283" s="567"/>
      <c r="N283" s="562">
        <f>SUM(N284:N285)</f>
        <v>0</v>
      </c>
      <c r="O283" s="3169">
        <f>IF(Q283&gt;0,N283,"na")</f>
        <v>0</v>
      </c>
      <c r="P283" s="557">
        <f>SUM(P284:P285)</f>
        <v>250705148</v>
      </c>
      <c r="Q283" s="557">
        <f t="shared" ref="Q283:S283" si="115">SUM(Q284:Q285)</f>
        <v>250705148</v>
      </c>
      <c r="R283" s="557">
        <f t="shared" si="115"/>
        <v>0</v>
      </c>
      <c r="S283" s="557">
        <f t="shared" si="115"/>
        <v>0</v>
      </c>
      <c r="T283" s="1874">
        <f t="shared" ref="T283:U285" si="116">IF(Q283=0,0,R283/Q283)</f>
        <v>0</v>
      </c>
      <c r="U283" s="1874">
        <f t="shared" si="116"/>
        <v>0</v>
      </c>
      <c r="V283" s="1795">
        <v>45306</v>
      </c>
      <c r="W283" s="1795">
        <v>45657</v>
      </c>
      <c r="X283" s="1847"/>
      <c r="Y283" s="2926" t="s">
        <v>3301</v>
      </c>
    </row>
    <row r="284" spans="1:25" ht="52.8">
      <c r="A284" s="2928"/>
      <c r="B284" s="2928"/>
      <c r="C284" s="2928"/>
      <c r="D284" s="3033"/>
      <c r="E284" s="549" t="s">
        <v>3399</v>
      </c>
      <c r="F284" s="556"/>
      <c r="G284" s="3167" t="s">
        <v>3396</v>
      </c>
      <c r="H284" s="3168"/>
      <c r="I284" s="1802" t="s">
        <v>3400</v>
      </c>
      <c r="J284" s="583" t="s">
        <v>3401</v>
      </c>
      <c r="K284" s="557">
        <v>1</v>
      </c>
      <c r="L284" s="589">
        <v>0.57999999999999996</v>
      </c>
      <c r="M284" s="567">
        <v>0</v>
      </c>
      <c r="N284" s="562">
        <v>0</v>
      </c>
      <c r="O284" s="3169"/>
      <c r="P284" s="1888">
        <v>247705148</v>
      </c>
      <c r="Q284" s="1888">
        <v>247705148</v>
      </c>
      <c r="R284" s="1888">
        <v>0</v>
      </c>
      <c r="S284" s="1888">
        <v>0</v>
      </c>
      <c r="T284" s="1874">
        <f t="shared" si="116"/>
        <v>0</v>
      </c>
      <c r="U284" s="1874">
        <f t="shared" si="116"/>
        <v>0</v>
      </c>
      <c r="V284" s="1795"/>
      <c r="W284" s="1795"/>
      <c r="X284" s="1800"/>
      <c r="Y284" s="2926"/>
    </row>
    <row r="285" spans="1:25" ht="39.6">
      <c r="A285" s="2928"/>
      <c r="B285" s="2928"/>
      <c r="C285" s="2928"/>
      <c r="D285" s="3033"/>
      <c r="E285" s="549" t="s">
        <v>3402</v>
      </c>
      <c r="F285" s="556"/>
      <c r="G285" s="3167"/>
      <c r="H285" s="3168"/>
      <c r="I285" s="1802" t="s">
        <v>3403</v>
      </c>
      <c r="J285" s="583" t="s">
        <v>3404</v>
      </c>
      <c r="K285" s="557">
        <v>1</v>
      </c>
      <c r="L285" s="589">
        <v>0.42</v>
      </c>
      <c r="M285" s="567">
        <v>0</v>
      </c>
      <c r="N285" s="562">
        <v>0</v>
      </c>
      <c r="O285" s="3169"/>
      <c r="P285" s="1888">
        <v>3000000</v>
      </c>
      <c r="Q285" s="1888">
        <v>3000000</v>
      </c>
      <c r="R285" s="1888">
        <v>0</v>
      </c>
      <c r="S285" s="1888">
        <v>0</v>
      </c>
      <c r="T285" s="1874">
        <f t="shared" si="116"/>
        <v>0</v>
      </c>
      <c r="U285" s="1874">
        <f t="shared" si="116"/>
        <v>0</v>
      </c>
      <c r="V285" s="1795"/>
      <c r="W285" s="1795"/>
      <c r="X285" s="1800"/>
      <c r="Y285" s="2926"/>
    </row>
    <row r="286" spans="1:25">
      <c r="A286" s="555"/>
      <c r="B286" s="214">
        <v>5403</v>
      </c>
      <c r="C286" s="214" t="s">
        <v>115</v>
      </c>
      <c r="D286" s="215" t="s">
        <v>535</v>
      </c>
      <c r="E286" s="549"/>
      <c r="F286" s="556"/>
      <c r="G286" s="583"/>
      <c r="H286" s="556"/>
      <c r="I286" s="1800"/>
      <c r="J286" s="1800"/>
      <c r="K286" s="557"/>
      <c r="L286" s="589"/>
      <c r="M286" s="567"/>
      <c r="N286" s="562"/>
      <c r="O286" s="562"/>
      <c r="P286" s="557"/>
      <c r="Q286" s="557"/>
      <c r="R286" s="557"/>
      <c r="S286" s="557"/>
      <c r="T286" s="562"/>
      <c r="U286" s="562"/>
      <c r="V286" s="1795"/>
      <c r="W286" s="1795"/>
      <c r="X286" s="1800"/>
      <c r="Y286" s="555"/>
    </row>
    <row r="287" spans="1:25">
      <c r="A287" s="555"/>
      <c r="B287" s="214">
        <v>5403001</v>
      </c>
      <c r="C287" s="214" t="s">
        <v>116</v>
      </c>
      <c r="D287" s="215" t="s">
        <v>3405</v>
      </c>
      <c r="E287" s="549"/>
      <c r="F287" s="556"/>
      <c r="G287" s="583"/>
      <c r="H287" s="556"/>
      <c r="I287" s="1800"/>
      <c r="J287" s="1800"/>
      <c r="K287" s="557"/>
      <c r="L287" s="589"/>
      <c r="M287" s="567"/>
      <c r="N287" s="562"/>
      <c r="O287" s="562"/>
      <c r="P287" s="557"/>
      <c r="Q287" s="557"/>
      <c r="R287" s="557"/>
      <c r="S287" s="557"/>
      <c r="T287" s="562"/>
      <c r="U287" s="562"/>
      <c r="V287" s="1795"/>
      <c r="W287" s="1795"/>
      <c r="X287" s="1800"/>
      <c r="Y287" s="555"/>
    </row>
    <row r="288" spans="1:25">
      <c r="A288" s="555"/>
      <c r="B288" s="222">
        <v>54030010008</v>
      </c>
      <c r="C288" s="222" t="s">
        <v>117</v>
      </c>
      <c r="D288" s="217" t="s">
        <v>3406</v>
      </c>
      <c r="E288" s="549"/>
      <c r="F288" s="556"/>
      <c r="G288" s="583"/>
      <c r="H288" s="556"/>
      <c r="I288" s="1800"/>
      <c r="J288" s="1800"/>
      <c r="K288" s="557">
        <f>K289</f>
        <v>1</v>
      </c>
      <c r="L288" s="589"/>
      <c r="M288" s="567"/>
      <c r="N288" s="562"/>
      <c r="O288" s="562"/>
      <c r="P288" s="557"/>
      <c r="Q288" s="557"/>
      <c r="R288" s="557"/>
      <c r="S288" s="557"/>
      <c r="T288" s="562"/>
      <c r="U288" s="562"/>
      <c r="V288" s="1795"/>
      <c r="W288" s="1795"/>
      <c r="X288" s="1800"/>
      <c r="Y288" s="555"/>
    </row>
    <row r="289" spans="1:25">
      <c r="A289" s="2928">
        <v>4148</v>
      </c>
      <c r="B289" s="2928"/>
      <c r="C289" s="2928" t="s">
        <v>123</v>
      </c>
      <c r="D289" s="3033" t="s">
        <v>3407</v>
      </c>
      <c r="E289" s="1746" t="s">
        <v>3408</v>
      </c>
      <c r="F289" s="556"/>
      <c r="G289" s="583"/>
      <c r="H289" s="556"/>
      <c r="I289" s="1800"/>
      <c r="J289" s="1800"/>
      <c r="K289" s="557">
        <v>1</v>
      </c>
      <c r="L289" s="589">
        <f>SUM(L290:L291)</f>
        <v>1</v>
      </c>
      <c r="M289" s="567"/>
      <c r="N289" s="562">
        <f>SUM(N290:N291)</f>
        <v>0.185</v>
      </c>
      <c r="O289" s="3169">
        <f>IF(Q289&gt;0,N289,"na")</f>
        <v>0.185</v>
      </c>
      <c r="P289" s="557">
        <f>SUM(P290:P291)</f>
        <v>1082500400</v>
      </c>
      <c r="Q289" s="557">
        <f t="shared" ref="Q289:S289" si="117">SUM(Q290:Q291)</f>
        <v>1082500400</v>
      </c>
      <c r="R289" s="557">
        <f t="shared" si="117"/>
        <v>343195000</v>
      </c>
      <c r="S289" s="557">
        <f t="shared" si="117"/>
        <v>157211000</v>
      </c>
      <c r="T289" s="1874">
        <f t="shared" ref="T289:U291" si="118">IF(Q289=0,0,R289/Q289)</f>
        <v>0.31703914381925402</v>
      </c>
      <c r="U289" s="1874">
        <f t="shared" si="118"/>
        <v>0.45808068299363336</v>
      </c>
      <c r="V289" s="1795"/>
      <c r="W289" s="1795"/>
      <c r="X289" s="1847"/>
      <c r="Y289" s="2926" t="s">
        <v>3301</v>
      </c>
    </row>
    <row r="290" spans="1:25" ht="158.4">
      <c r="A290" s="2928"/>
      <c r="B290" s="2928"/>
      <c r="C290" s="2928"/>
      <c r="D290" s="3033"/>
      <c r="E290" s="549" t="s">
        <v>3409</v>
      </c>
      <c r="F290" s="556"/>
      <c r="G290" s="3167" t="s">
        <v>3406</v>
      </c>
      <c r="H290" s="3168"/>
      <c r="I290" s="1865" t="s">
        <v>3410</v>
      </c>
      <c r="J290" s="583" t="s">
        <v>2906</v>
      </c>
      <c r="K290" s="557">
        <v>3</v>
      </c>
      <c r="L290" s="589">
        <v>0.6</v>
      </c>
      <c r="M290" s="567">
        <v>0</v>
      </c>
      <c r="N290" s="562">
        <v>8.5000000000000006E-2</v>
      </c>
      <c r="O290" s="3169"/>
      <c r="P290" s="1888">
        <v>433966650</v>
      </c>
      <c r="Q290" s="1888">
        <v>433966650</v>
      </c>
      <c r="R290" s="1888">
        <v>84695000</v>
      </c>
      <c r="S290" s="1888">
        <v>44415000</v>
      </c>
      <c r="T290" s="1874">
        <f t="shared" si="118"/>
        <v>0.19516476669347749</v>
      </c>
      <c r="U290" s="1874">
        <f t="shared" si="118"/>
        <v>0.52441112226223507</v>
      </c>
      <c r="V290" s="1795" t="s">
        <v>3411</v>
      </c>
      <c r="W290" s="1795">
        <v>45412</v>
      </c>
      <c r="X290" s="1800" t="s">
        <v>3412</v>
      </c>
      <c r="Y290" s="2926"/>
    </row>
    <row r="291" spans="1:25" ht="79.2">
      <c r="A291" s="2940"/>
      <c r="B291" s="2940"/>
      <c r="C291" s="2940"/>
      <c r="D291" s="3043"/>
      <c r="E291" s="616" t="s">
        <v>3413</v>
      </c>
      <c r="F291" s="603"/>
      <c r="G291" s="3171"/>
      <c r="H291" s="3172"/>
      <c r="I291" s="1866" t="s">
        <v>3414</v>
      </c>
      <c r="J291" s="1866" t="s">
        <v>2896</v>
      </c>
      <c r="K291" s="617">
        <v>37</v>
      </c>
      <c r="L291" s="606">
        <v>0.4</v>
      </c>
      <c r="M291" s="607">
        <v>0</v>
      </c>
      <c r="N291" s="608">
        <v>0.1</v>
      </c>
      <c r="O291" s="3170"/>
      <c r="P291" s="1890">
        <v>648533750</v>
      </c>
      <c r="Q291" s="1890">
        <v>648533750</v>
      </c>
      <c r="R291" s="1890">
        <v>258500000</v>
      </c>
      <c r="S291" s="1890">
        <v>112796000</v>
      </c>
      <c r="T291" s="1878">
        <f t="shared" si="118"/>
        <v>0.39859143799378211</v>
      </c>
      <c r="U291" s="1878">
        <f t="shared" si="118"/>
        <v>0.43634816247582203</v>
      </c>
      <c r="V291" s="1867" t="s">
        <v>3415</v>
      </c>
      <c r="W291" s="609">
        <v>45412</v>
      </c>
      <c r="X291" s="1868" t="s">
        <v>3416</v>
      </c>
      <c r="Y291" s="2935"/>
    </row>
    <row r="292" spans="1:25">
      <c r="A292" s="512"/>
      <c r="B292" s="511"/>
      <c r="C292" s="511"/>
      <c r="D292" s="512"/>
      <c r="E292" s="512"/>
      <c r="F292" s="512"/>
      <c r="G292" s="516"/>
      <c r="H292" s="511"/>
      <c r="I292" s="512"/>
      <c r="J292" s="511"/>
      <c r="K292" s="1042"/>
      <c r="L292" s="512"/>
      <c r="M292" s="1879"/>
      <c r="N292" s="512"/>
      <c r="O292" s="512"/>
      <c r="P292" s="1891"/>
      <c r="Q292" s="1891"/>
      <c r="R292" s="1891"/>
      <c r="S292" s="1891"/>
      <c r="T292" s="514"/>
      <c r="U292" s="514"/>
      <c r="V292" s="1881"/>
      <c r="W292" s="1881"/>
      <c r="X292" s="1882"/>
      <c r="Y292" s="512"/>
    </row>
    <row r="293" spans="1:25">
      <c r="A293" s="512"/>
      <c r="B293" s="1883" t="s">
        <v>123</v>
      </c>
      <c r="C293" s="1883">
        <f>COUNTIF($C$7:$C$291,"pr")</f>
        <v>81</v>
      </c>
      <c r="D293" s="512"/>
      <c r="E293" s="1757" t="s">
        <v>126</v>
      </c>
      <c r="F293" s="1757"/>
      <c r="G293" s="1886">
        <f>COUNTIF(O11:O291,"na")-C294</f>
        <v>0</v>
      </c>
      <c r="H293" s="1758"/>
      <c r="I293" s="1757"/>
      <c r="J293" s="1758"/>
      <c r="K293" s="1759"/>
      <c r="L293" s="1759"/>
      <c r="M293" s="1757"/>
      <c r="N293" s="1762" t="s">
        <v>127</v>
      </c>
      <c r="O293" s="1763">
        <f>+AVERAGE(O11:O291)</f>
        <v>1.7196296296296303E-2</v>
      </c>
      <c r="P293" s="1892">
        <f>P11+P16+P21+P23+P25+P29+P36+P42+P46+P51+P54+P59+P64+P70+P74+P79+P84+P86+P88+P91+P93+P97+P101+P103+P108+P112+P118+P122+P125+P128+P130+P133+P136+P138+P141+P146+P149+P152+P156+P163+P165+P167+P170+P172+P174+P176+P178+P180+P182+P184+P186+P188+P190+P192+P194+P196+P199+P202+P204+P206+P209+P212+P215+P218+P222+P226+P229+P233+P237+P241+P245+P250+P254+P259+P262+P265+P272+P275+P279+P283+P289</f>
        <v>73298514580</v>
      </c>
      <c r="Q293" s="1892">
        <f t="shared" ref="Q293:S293" si="119">Q11+Q16+Q21+Q23+Q25+Q29+Q36+Q42+Q46+Q51+Q54+Q59+Q64+Q70+Q74+Q79+Q84+Q86+Q88+Q91+Q93+Q97+Q101+Q103+Q108+Q112+Q118+Q122+Q125+Q128+Q130+Q133+Q136+Q138+Q141+Q146+Q149+Q152+Q156+Q163+Q165+Q167+Q170+Q172+Q174+Q176+Q178+Q180+Q182+Q184+Q186+Q188+Q190+Q192+Q194+Q196+Q199+Q202+Q204+Q206+Q209+Q212+Q215+Q218+Q222+Q226+Q229+Q233+Q237+Q241+Q245+Q250+Q254+Q259+Q262+Q265+Q272+Q275+Q279+Q283+Q289</f>
        <v>73298514580</v>
      </c>
      <c r="R293" s="1892">
        <f t="shared" si="119"/>
        <v>6094343561</v>
      </c>
      <c r="S293" s="1892">
        <f t="shared" si="119"/>
        <v>2258981000</v>
      </c>
      <c r="T293" s="1887">
        <f t="shared" ref="T293" si="120">IF(Q293=0,0,R293/Q293)</f>
        <v>8.3144161869043984E-2</v>
      </c>
      <c r="U293" s="1887">
        <f t="shared" ref="U293" si="121">IF(R293=0,0,S293/R293)</f>
        <v>0.37066846944042836</v>
      </c>
      <c r="V293" s="1881"/>
      <c r="W293" s="1881"/>
      <c r="X293" s="1882"/>
      <c r="Y293" s="512"/>
    </row>
    <row r="294" spans="1:25">
      <c r="A294" s="512"/>
      <c r="B294" s="1883"/>
      <c r="C294" s="1883"/>
      <c r="D294" s="512"/>
      <c r="E294" s="1757"/>
      <c r="F294" s="1757"/>
      <c r="G294" s="1757"/>
      <c r="H294" s="1758"/>
      <c r="I294" s="1757"/>
      <c r="J294" s="1758"/>
      <c r="K294" s="1759"/>
      <c r="L294" s="1759"/>
      <c r="M294" s="1757"/>
      <c r="N294" s="1762" t="s">
        <v>133</v>
      </c>
      <c r="O294" s="53">
        <f>COUNTIF(O11:O291,"=0%")</f>
        <v>48</v>
      </c>
      <c r="P294" s="1892">
        <v>73298514580</v>
      </c>
      <c r="Q294" s="1892">
        <v>73298514580</v>
      </c>
      <c r="R294" s="1892">
        <v>6094343561</v>
      </c>
      <c r="S294" s="1892">
        <v>2258981000</v>
      </c>
      <c r="T294" s="1884"/>
      <c r="U294" s="1884"/>
      <c r="V294" s="1881"/>
      <c r="W294" s="1881"/>
      <c r="X294" s="1882"/>
      <c r="Y294" s="512"/>
    </row>
    <row r="295" spans="1:25">
      <c r="A295" s="512"/>
      <c r="B295" s="1883"/>
      <c r="C295" s="1883"/>
      <c r="D295" s="512"/>
      <c r="E295" s="512"/>
      <c r="F295" s="512"/>
      <c r="G295" s="516"/>
      <c r="H295" s="511"/>
      <c r="I295" s="512"/>
      <c r="J295" s="511"/>
      <c r="K295" s="1042"/>
      <c r="L295" s="512"/>
      <c r="M295" s="1879"/>
      <c r="N295" s="512"/>
      <c r="O295" s="512"/>
      <c r="P295" s="1880"/>
      <c r="Q295" s="1880"/>
      <c r="R295" s="1880"/>
      <c r="S295" s="1880"/>
      <c r="T295" s="1885"/>
      <c r="U295" s="1885"/>
      <c r="V295" s="1881"/>
      <c r="W295" s="1881"/>
      <c r="X295" s="1882"/>
      <c r="Y295" s="512"/>
    </row>
    <row r="296" spans="1:25">
      <c r="A296" s="512"/>
      <c r="B296" s="1883"/>
      <c r="C296" s="1883"/>
      <c r="D296" s="512"/>
      <c r="E296" s="512"/>
      <c r="F296" s="512"/>
      <c r="G296" s="516"/>
      <c r="H296" s="511"/>
      <c r="I296" s="512"/>
      <c r="J296" s="511"/>
      <c r="K296" s="1042"/>
      <c r="L296" s="512"/>
      <c r="M296" s="1879"/>
      <c r="N296" s="512"/>
      <c r="O296" s="512"/>
      <c r="P296" s="1880"/>
      <c r="Q296" s="1880"/>
      <c r="R296" s="1880"/>
      <c r="S296" s="1880"/>
      <c r="T296" s="512"/>
      <c r="U296" s="512"/>
      <c r="V296" s="1881"/>
      <c r="W296" s="1881"/>
      <c r="X296" s="1882"/>
      <c r="Y296" s="512"/>
    </row>
    <row r="297" spans="1:25">
      <c r="A297" s="512"/>
      <c r="D297" s="512"/>
      <c r="E297" s="512"/>
      <c r="F297" s="512"/>
      <c r="G297" s="516"/>
      <c r="H297" s="511"/>
      <c r="I297" s="512"/>
      <c r="J297" s="511"/>
      <c r="K297" s="1042"/>
      <c r="L297" s="512"/>
      <c r="M297" s="1879"/>
      <c r="N297" s="512"/>
      <c r="O297" s="512"/>
      <c r="P297" s="1880"/>
      <c r="Q297" s="1880"/>
      <c r="R297" s="1880"/>
      <c r="S297" s="1880"/>
      <c r="T297" s="512"/>
      <c r="U297" s="512"/>
      <c r="V297" s="1881"/>
      <c r="W297" s="1881"/>
      <c r="X297" s="1882"/>
      <c r="Y297" s="512"/>
    </row>
  </sheetData>
  <mergeCells count="532">
    <mergeCell ref="L5:L6"/>
    <mergeCell ref="M5:M6"/>
    <mergeCell ref="N5:N6"/>
    <mergeCell ref="O5:O6"/>
    <mergeCell ref="P5:P6"/>
    <mergeCell ref="Q5:Q6"/>
    <mergeCell ref="R5:R6"/>
    <mergeCell ref="U5:U6"/>
    <mergeCell ref="V5:V6"/>
    <mergeCell ref="E5:E6"/>
    <mergeCell ref="F5:F6"/>
    <mergeCell ref="A1:X1"/>
    <mergeCell ref="A2:Y2"/>
    <mergeCell ref="A3:B3"/>
    <mergeCell ref="C3:R3"/>
    <mergeCell ref="S3:U3"/>
    <mergeCell ref="V3:W3"/>
    <mergeCell ref="A4:Y4"/>
    <mergeCell ref="T5:T6"/>
    <mergeCell ref="W5:W6"/>
    <mergeCell ref="X5:X6"/>
    <mergeCell ref="Y5:Y6"/>
    <mergeCell ref="J5:J6"/>
    <mergeCell ref="S5:S6"/>
    <mergeCell ref="G5:G6"/>
    <mergeCell ref="H5:H6"/>
    <mergeCell ref="I5:I6"/>
    <mergeCell ref="A5:A6"/>
    <mergeCell ref="B5:B6"/>
    <mergeCell ref="C5:C6"/>
    <mergeCell ref="D5:D6"/>
    <mergeCell ref="K5:K6"/>
    <mergeCell ref="Y11:Y14"/>
    <mergeCell ref="A16:A17"/>
    <mergeCell ref="B16:B17"/>
    <mergeCell ref="C16:C17"/>
    <mergeCell ref="D16:D17"/>
    <mergeCell ref="O16:O17"/>
    <mergeCell ref="Y16:Y17"/>
    <mergeCell ref="A11:A14"/>
    <mergeCell ref="B11:B14"/>
    <mergeCell ref="C11:C14"/>
    <mergeCell ref="D11:D14"/>
    <mergeCell ref="O11:O14"/>
    <mergeCell ref="Y21:Y22"/>
    <mergeCell ref="A23:A24"/>
    <mergeCell ref="B23:B24"/>
    <mergeCell ref="C23:C24"/>
    <mergeCell ref="D23:D24"/>
    <mergeCell ref="O23:O24"/>
    <mergeCell ref="Y23:Y24"/>
    <mergeCell ref="A21:A22"/>
    <mergeCell ref="B21:B22"/>
    <mergeCell ref="C21:C22"/>
    <mergeCell ref="D21:D22"/>
    <mergeCell ref="O21:O22"/>
    <mergeCell ref="Y25:Y27"/>
    <mergeCell ref="A29:A31"/>
    <mergeCell ref="B29:B31"/>
    <mergeCell ref="C29:C31"/>
    <mergeCell ref="D29:D31"/>
    <mergeCell ref="O29:O31"/>
    <mergeCell ref="Y29:Y31"/>
    <mergeCell ref="A25:A27"/>
    <mergeCell ref="B25:B27"/>
    <mergeCell ref="C25:C27"/>
    <mergeCell ref="D25:D27"/>
    <mergeCell ref="O25:O27"/>
    <mergeCell ref="Y36:Y38"/>
    <mergeCell ref="A42:A44"/>
    <mergeCell ref="B42:B44"/>
    <mergeCell ref="C42:C44"/>
    <mergeCell ref="D42:D44"/>
    <mergeCell ref="O42:O44"/>
    <mergeCell ref="Y42:Y44"/>
    <mergeCell ref="A36:A38"/>
    <mergeCell ref="B36:B38"/>
    <mergeCell ref="C36:C38"/>
    <mergeCell ref="D36:D38"/>
    <mergeCell ref="O36:O38"/>
    <mergeCell ref="Y46:Y48"/>
    <mergeCell ref="A51:A53"/>
    <mergeCell ref="B51:B53"/>
    <mergeCell ref="C51:C53"/>
    <mergeCell ref="D51:D53"/>
    <mergeCell ref="O51:O53"/>
    <mergeCell ref="Y51:Y53"/>
    <mergeCell ref="A46:A48"/>
    <mergeCell ref="B46:B48"/>
    <mergeCell ref="C46:C48"/>
    <mergeCell ref="D46:D48"/>
    <mergeCell ref="O46:O48"/>
    <mergeCell ref="Y54:Y56"/>
    <mergeCell ref="A59:A61"/>
    <mergeCell ref="B59:B61"/>
    <mergeCell ref="C59:C61"/>
    <mergeCell ref="D59:D61"/>
    <mergeCell ref="O59:O61"/>
    <mergeCell ref="Y59:Y61"/>
    <mergeCell ref="A54:A56"/>
    <mergeCell ref="B54:B56"/>
    <mergeCell ref="C54:C56"/>
    <mergeCell ref="D54:D56"/>
    <mergeCell ref="O54:O56"/>
    <mergeCell ref="Y64:Y67"/>
    <mergeCell ref="A70:A72"/>
    <mergeCell ref="B70:B72"/>
    <mergeCell ref="C70:C72"/>
    <mergeCell ref="D70:D72"/>
    <mergeCell ref="O70:O72"/>
    <mergeCell ref="Y70:Y72"/>
    <mergeCell ref="A64:A67"/>
    <mergeCell ref="B64:B67"/>
    <mergeCell ref="C64:C67"/>
    <mergeCell ref="D64:D67"/>
    <mergeCell ref="O64:O67"/>
    <mergeCell ref="Y74:Y76"/>
    <mergeCell ref="A79:A80"/>
    <mergeCell ref="B79:B80"/>
    <mergeCell ref="C79:C80"/>
    <mergeCell ref="D79:D80"/>
    <mergeCell ref="O79:O80"/>
    <mergeCell ref="Y79:Y80"/>
    <mergeCell ref="A74:A76"/>
    <mergeCell ref="B74:B76"/>
    <mergeCell ref="C74:C76"/>
    <mergeCell ref="D74:D76"/>
    <mergeCell ref="O74:O76"/>
    <mergeCell ref="Y84:Y85"/>
    <mergeCell ref="A86:A87"/>
    <mergeCell ref="B86:B87"/>
    <mergeCell ref="C86:C87"/>
    <mergeCell ref="D86:D87"/>
    <mergeCell ref="O86:O87"/>
    <mergeCell ref="Y86:Y87"/>
    <mergeCell ref="A84:A85"/>
    <mergeCell ref="B84:B85"/>
    <mergeCell ref="C84:C85"/>
    <mergeCell ref="D84:D85"/>
    <mergeCell ref="O84:O85"/>
    <mergeCell ref="Y88:Y90"/>
    <mergeCell ref="A91:A92"/>
    <mergeCell ref="B91:B92"/>
    <mergeCell ref="C91:C92"/>
    <mergeCell ref="D91:D92"/>
    <mergeCell ref="O91:O92"/>
    <mergeCell ref="Y91:Y92"/>
    <mergeCell ref="A88:A90"/>
    <mergeCell ref="B88:B90"/>
    <mergeCell ref="C88:C90"/>
    <mergeCell ref="D88:D90"/>
    <mergeCell ref="O88:O90"/>
    <mergeCell ref="Y93:Y94"/>
    <mergeCell ref="A97:A100"/>
    <mergeCell ref="B97:B100"/>
    <mergeCell ref="C97:C100"/>
    <mergeCell ref="D97:D100"/>
    <mergeCell ref="O97:O100"/>
    <mergeCell ref="Y97:Y100"/>
    <mergeCell ref="A93:A94"/>
    <mergeCell ref="B93:B94"/>
    <mergeCell ref="C93:C94"/>
    <mergeCell ref="D93:D94"/>
    <mergeCell ref="O93:O94"/>
    <mergeCell ref="Y101:Y102"/>
    <mergeCell ref="A103:A104"/>
    <mergeCell ref="B103:B104"/>
    <mergeCell ref="C103:C104"/>
    <mergeCell ref="D103:D104"/>
    <mergeCell ref="O103:O104"/>
    <mergeCell ref="Y103:Y104"/>
    <mergeCell ref="A101:A102"/>
    <mergeCell ref="B101:B102"/>
    <mergeCell ref="C101:C102"/>
    <mergeCell ref="D101:D102"/>
    <mergeCell ref="O101:O102"/>
    <mergeCell ref="Y108:Y110"/>
    <mergeCell ref="A112:A114"/>
    <mergeCell ref="B112:B114"/>
    <mergeCell ref="C112:C114"/>
    <mergeCell ref="D112:D114"/>
    <mergeCell ref="O112:O114"/>
    <mergeCell ref="Y112:Y114"/>
    <mergeCell ref="A108:A110"/>
    <mergeCell ref="B108:B110"/>
    <mergeCell ref="C108:C110"/>
    <mergeCell ref="D108:D110"/>
    <mergeCell ref="O108:O110"/>
    <mergeCell ref="Y118:Y120"/>
    <mergeCell ref="A122:A124"/>
    <mergeCell ref="B122:B124"/>
    <mergeCell ref="C122:C124"/>
    <mergeCell ref="D122:D124"/>
    <mergeCell ref="O122:O124"/>
    <mergeCell ref="Y122:Y124"/>
    <mergeCell ref="A118:A120"/>
    <mergeCell ref="B118:B120"/>
    <mergeCell ref="C118:C120"/>
    <mergeCell ref="D118:D120"/>
    <mergeCell ref="O118:O120"/>
    <mergeCell ref="A130:A131"/>
    <mergeCell ref="B130:B131"/>
    <mergeCell ref="C130:C131"/>
    <mergeCell ref="D130:D131"/>
    <mergeCell ref="O130:O131"/>
    <mergeCell ref="Y125:Y127"/>
    <mergeCell ref="A128:A129"/>
    <mergeCell ref="B128:B129"/>
    <mergeCell ref="C128:C129"/>
    <mergeCell ref="D128:D129"/>
    <mergeCell ref="O128:O129"/>
    <mergeCell ref="Y128:Y129"/>
    <mergeCell ref="A125:A127"/>
    <mergeCell ref="B125:B127"/>
    <mergeCell ref="C125:C127"/>
    <mergeCell ref="D125:D127"/>
    <mergeCell ref="O125:O127"/>
    <mergeCell ref="Y133:Y135"/>
    <mergeCell ref="A136:A137"/>
    <mergeCell ref="B136:B137"/>
    <mergeCell ref="C136:C137"/>
    <mergeCell ref="D136:D137"/>
    <mergeCell ref="O136:O137"/>
    <mergeCell ref="Y136:Y137"/>
    <mergeCell ref="A133:A135"/>
    <mergeCell ref="B133:B135"/>
    <mergeCell ref="C133:C135"/>
    <mergeCell ref="D133:D135"/>
    <mergeCell ref="O133:O135"/>
    <mergeCell ref="Y138:Y139"/>
    <mergeCell ref="A141:A144"/>
    <mergeCell ref="B141:B144"/>
    <mergeCell ref="C141:C144"/>
    <mergeCell ref="D141:D144"/>
    <mergeCell ref="O141:O144"/>
    <mergeCell ref="Y141:Y144"/>
    <mergeCell ref="G142:G144"/>
    <mergeCell ref="H142:H144"/>
    <mergeCell ref="A138:A139"/>
    <mergeCell ref="B138:B139"/>
    <mergeCell ref="C138:C139"/>
    <mergeCell ref="D138:D139"/>
    <mergeCell ref="O138:O139"/>
    <mergeCell ref="Y146:Y147"/>
    <mergeCell ref="A149:A150"/>
    <mergeCell ref="B149:B150"/>
    <mergeCell ref="C149:C150"/>
    <mergeCell ref="D149:D150"/>
    <mergeCell ref="O149:O150"/>
    <mergeCell ref="Y149:Y150"/>
    <mergeCell ref="A146:A147"/>
    <mergeCell ref="B146:B147"/>
    <mergeCell ref="C146:C147"/>
    <mergeCell ref="D146:D147"/>
    <mergeCell ref="O146:O147"/>
    <mergeCell ref="Y152:Y155"/>
    <mergeCell ref="G153:G155"/>
    <mergeCell ref="H153:H155"/>
    <mergeCell ref="A156:A160"/>
    <mergeCell ref="B156:B160"/>
    <mergeCell ref="C156:C160"/>
    <mergeCell ref="D156:D160"/>
    <mergeCell ref="O156:O160"/>
    <mergeCell ref="Y156:Y160"/>
    <mergeCell ref="A152:A155"/>
    <mergeCell ref="B152:B155"/>
    <mergeCell ref="C152:C155"/>
    <mergeCell ref="D152:D155"/>
    <mergeCell ref="O152:O155"/>
    <mergeCell ref="Y163:Y164"/>
    <mergeCell ref="A165:A166"/>
    <mergeCell ref="B165:B166"/>
    <mergeCell ref="C165:C166"/>
    <mergeCell ref="D165:D166"/>
    <mergeCell ref="O165:O166"/>
    <mergeCell ref="Y165:Y166"/>
    <mergeCell ref="A163:A164"/>
    <mergeCell ref="B163:B164"/>
    <mergeCell ref="C163:C164"/>
    <mergeCell ref="D163:D164"/>
    <mergeCell ref="O163:O164"/>
    <mergeCell ref="Y167:Y169"/>
    <mergeCell ref="A170:A171"/>
    <mergeCell ref="B170:B171"/>
    <mergeCell ref="C170:C171"/>
    <mergeCell ref="D170:D171"/>
    <mergeCell ref="O170:O171"/>
    <mergeCell ref="Y170:Y171"/>
    <mergeCell ref="A167:A169"/>
    <mergeCell ref="B167:B169"/>
    <mergeCell ref="C167:C169"/>
    <mergeCell ref="D167:D169"/>
    <mergeCell ref="O167:O169"/>
    <mergeCell ref="Y172:Y173"/>
    <mergeCell ref="A174:A175"/>
    <mergeCell ref="B174:B175"/>
    <mergeCell ref="C174:C175"/>
    <mergeCell ref="D174:D175"/>
    <mergeCell ref="O174:O175"/>
    <mergeCell ref="Y174:Y175"/>
    <mergeCell ref="A172:A173"/>
    <mergeCell ref="B172:B173"/>
    <mergeCell ref="C172:C173"/>
    <mergeCell ref="D172:D173"/>
    <mergeCell ref="O172:O173"/>
    <mergeCell ref="Y176:Y177"/>
    <mergeCell ref="A178:A179"/>
    <mergeCell ref="B178:B179"/>
    <mergeCell ref="C178:C179"/>
    <mergeCell ref="D178:D179"/>
    <mergeCell ref="O178:O179"/>
    <mergeCell ref="Y178:Y179"/>
    <mergeCell ref="A176:A177"/>
    <mergeCell ref="B176:B177"/>
    <mergeCell ref="C176:C177"/>
    <mergeCell ref="D176:D177"/>
    <mergeCell ref="O176:O177"/>
    <mergeCell ref="Y180:Y181"/>
    <mergeCell ref="A182:A183"/>
    <mergeCell ref="B182:B183"/>
    <mergeCell ref="C182:C183"/>
    <mergeCell ref="D182:D183"/>
    <mergeCell ref="O182:O183"/>
    <mergeCell ref="Y182:Y183"/>
    <mergeCell ref="A180:A181"/>
    <mergeCell ref="B180:B181"/>
    <mergeCell ref="C180:C181"/>
    <mergeCell ref="D180:D181"/>
    <mergeCell ref="O180:O181"/>
    <mergeCell ref="Y184:Y185"/>
    <mergeCell ref="A186:A187"/>
    <mergeCell ref="B186:B187"/>
    <mergeCell ref="C186:C187"/>
    <mergeCell ref="D186:D187"/>
    <mergeCell ref="O186:O187"/>
    <mergeCell ref="Y186:Y187"/>
    <mergeCell ref="A184:A185"/>
    <mergeCell ref="B184:B185"/>
    <mergeCell ref="C184:C185"/>
    <mergeCell ref="D184:D185"/>
    <mergeCell ref="O184:O185"/>
    <mergeCell ref="Y188:Y189"/>
    <mergeCell ref="A190:A191"/>
    <mergeCell ref="B190:B191"/>
    <mergeCell ref="C190:C191"/>
    <mergeCell ref="D190:D191"/>
    <mergeCell ref="O190:O191"/>
    <mergeCell ref="Y190:Y191"/>
    <mergeCell ref="A188:A189"/>
    <mergeCell ref="B188:B189"/>
    <mergeCell ref="C188:C189"/>
    <mergeCell ref="D188:D189"/>
    <mergeCell ref="O188:O189"/>
    <mergeCell ref="Y192:Y193"/>
    <mergeCell ref="A194:A195"/>
    <mergeCell ref="B194:B195"/>
    <mergeCell ref="C194:C195"/>
    <mergeCell ref="D194:D195"/>
    <mergeCell ref="O194:O195"/>
    <mergeCell ref="Y194:Y195"/>
    <mergeCell ref="A192:A193"/>
    <mergeCell ref="B192:B193"/>
    <mergeCell ref="C192:C193"/>
    <mergeCell ref="D192:D193"/>
    <mergeCell ref="O192:O193"/>
    <mergeCell ref="Y196:Y197"/>
    <mergeCell ref="A199:A201"/>
    <mergeCell ref="B199:B201"/>
    <mergeCell ref="C199:C201"/>
    <mergeCell ref="D199:D201"/>
    <mergeCell ref="O199:O201"/>
    <mergeCell ref="Y199:Y201"/>
    <mergeCell ref="A196:A197"/>
    <mergeCell ref="B196:B197"/>
    <mergeCell ref="C196:C197"/>
    <mergeCell ref="D196:D197"/>
    <mergeCell ref="O196:O197"/>
    <mergeCell ref="Y202:Y203"/>
    <mergeCell ref="A204:A205"/>
    <mergeCell ref="B204:B205"/>
    <mergeCell ref="C204:C205"/>
    <mergeCell ref="D204:D205"/>
    <mergeCell ref="O204:O205"/>
    <mergeCell ref="Y204:Y205"/>
    <mergeCell ref="A202:A203"/>
    <mergeCell ref="B202:B203"/>
    <mergeCell ref="C202:C203"/>
    <mergeCell ref="D202:D203"/>
    <mergeCell ref="O202:O203"/>
    <mergeCell ref="Y206:Y208"/>
    <mergeCell ref="A209:A210"/>
    <mergeCell ref="B209:B210"/>
    <mergeCell ref="C209:C210"/>
    <mergeCell ref="D209:D210"/>
    <mergeCell ref="O209:O210"/>
    <mergeCell ref="Y209:Y210"/>
    <mergeCell ref="A206:A208"/>
    <mergeCell ref="B206:B208"/>
    <mergeCell ref="C206:C208"/>
    <mergeCell ref="D206:D208"/>
    <mergeCell ref="O206:O208"/>
    <mergeCell ref="Y212:Y214"/>
    <mergeCell ref="A215:A217"/>
    <mergeCell ref="B215:B217"/>
    <mergeCell ref="C215:C217"/>
    <mergeCell ref="D215:D217"/>
    <mergeCell ref="O215:O217"/>
    <mergeCell ref="Y215:Y217"/>
    <mergeCell ref="A212:A214"/>
    <mergeCell ref="B212:B214"/>
    <mergeCell ref="C212:C214"/>
    <mergeCell ref="D212:D214"/>
    <mergeCell ref="O212:O214"/>
    <mergeCell ref="Y218:Y220"/>
    <mergeCell ref="G219:G220"/>
    <mergeCell ref="H219:H220"/>
    <mergeCell ref="A222:A224"/>
    <mergeCell ref="B222:B224"/>
    <mergeCell ref="C222:C224"/>
    <mergeCell ref="D222:D224"/>
    <mergeCell ref="O222:O224"/>
    <mergeCell ref="Y222:Y224"/>
    <mergeCell ref="A218:A220"/>
    <mergeCell ref="B218:B220"/>
    <mergeCell ref="C218:C220"/>
    <mergeCell ref="D218:D220"/>
    <mergeCell ref="O218:O220"/>
    <mergeCell ref="Y226:Y228"/>
    <mergeCell ref="A229:A231"/>
    <mergeCell ref="B229:B231"/>
    <mergeCell ref="C229:C231"/>
    <mergeCell ref="D229:D231"/>
    <mergeCell ref="O229:O231"/>
    <mergeCell ref="Y229:Y231"/>
    <mergeCell ref="A226:A228"/>
    <mergeCell ref="B226:B228"/>
    <mergeCell ref="C226:C228"/>
    <mergeCell ref="D226:D228"/>
    <mergeCell ref="O226:O228"/>
    <mergeCell ref="Y233:Y235"/>
    <mergeCell ref="G234:G235"/>
    <mergeCell ref="A237:A239"/>
    <mergeCell ref="B237:B239"/>
    <mergeCell ref="C237:C239"/>
    <mergeCell ref="D237:D239"/>
    <mergeCell ref="O237:O239"/>
    <mergeCell ref="Y237:Y239"/>
    <mergeCell ref="G238:G239"/>
    <mergeCell ref="H238:H239"/>
    <mergeCell ref="A233:A235"/>
    <mergeCell ref="B233:B235"/>
    <mergeCell ref="C233:C235"/>
    <mergeCell ref="D233:D235"/>
    <mergeCell ref="O233:O235"/>
    <mergeCell ref="Y241:Y243"/>
    <mergeCell ref="A245:A248"/>
    <mergeCell ref="B245:B248"/>
    <mergeCell ref="C245:C248"/>
    <mergeCell ref="D245:D248"/>
    <mergeCell ref="O245:O248"/>
    <mergeCell ref="Y245:Y248"/>
    <mergeCell ref="A241:A243"/>
    <mergeCell ref="B241:B243"/>
    <mergeCell ref="C241:C243"/>
    <mergeCell ref="D241:D243"/>
    <mergeCell ref="O241:O243"/>
    <mergeCell ref="Y250:Y252"/>
    <mergeCell ref="A254:A257"/>
    <mergeCell ref="B254:B257"/>
    <mergeCell ref="C254:C257"/>
    <mergeCell ref="D254:D257"/>
    <mergeCell ref="O254:O257"/>
    <mergeCell ref="Y254:Y257"/>
    <mergeCell ref="A250:A252"/>
    <mergeCell ref="B250:B252"/>
    <mergeCell ref="C250:C252"/>
    <mergeCell ref="D250:D252"/>
    <mergeCell ref="O250:O252"/>
    <mergeCell ref="Y259:Y260"/>
    <mergeCell ref="A262:A264"/>
    <mergeCell ref="B262:B264"/>
    <mergeCell ref="C262:C264"/>
    <mergeCell ref="D262:D264"/>
    <mergeCell ref="O262:O264"/>
    <mergeCell ref="Y262:Y264"/>
    <mergeCell ref="A259:A260"/>
    <mergeCell ref="B259:B260"/>
    <mergeCell ref="C259:C260"/>
    <mergeCell ref="D259:D260"/>
    <mergeCell ref="O259:O260"/>
    <mergeCell ref="Y265:Y267"/>
    <mergeCell ref="A272:A274"/>
    <mergeCell ref="B272:B274"/>
    <mergeCell ref="C272:C274"/>
    <mergeCell ref="D272:D274"/>
    <mergeCell ref="O272:O274"/>
    <mergeCell ref="Y272:Y274"/>
    <mergeCell ref="A265:A267"/>
    <mergeCell ref="B265:B267"/>
    <mergeCell ref="C265:C267"/>
    <mergeCell ref="D265:D267"/>
    <mergeCell ref="O265:O267"/>
    <mergeCell ref="Y275:Y277"/>
    <mergeCell ref="G276:G277"/>
    <mergeCell ref="H276:H277"/>
    <mergeCell ref="A279:A280"/>
    <mergeCell ref="B279:B280"/>
    <mergeCell ref="C279:C280"/>
    <mergeCell ref="D279:D280"/>
    <mergeCell ref="O279:O280"/>
    <mergeCell ref="Y279:Y280"/>
    <mergeCell ref="A275:A277"/>
    <mergeCell ref="B275:B277"/>
    <mergeCell ref="C275:C277"/>
    <mergeCell ref="D275:D277"/>
    <mergeCell ref="O275:O277"/>
    <mergeCell ref="Y283:Y285"/>
    <mergeCell ref="G284:G285"/>
    <mergeCell ref="H284:H285"/>
    <mergeCell ref="A289:A291"/>
    <mergeCell ref="B289:B291"/>
    <mergeCell ref="C289:C291"/>
    <mergeCell ref="D289:D291"/>
    <mergeCell ref="O289:O291"/>
    <mergeCell ref="Y289:Y291"/>
    <mergeCell ref="G290:G291"/>
    <mergeCell ref="H290:H291"/>
    <mergeCell ref="A283:A285"/>
    <mergeCell ref="B283:B285"/>
    <mergeCell ref="C283:C285"/>
    <mergeCell ref="D283:D285"/>
    <mergeCell ref="O283:O28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87"/>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9"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9"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9" s="27" customFormat="1" ht="24.9" customHeight="1">
      <c r="A3" s="3222" t="s">
        <v>87</v>
      </c>
      <c r="B3" s="3222"/>
      <c r="C3" s="3222" t="s">
        <v>78</v>
      </c>
      <c r="D3" s="3222"/>
      <c r="E3" s="3222"/>
      <c r="F3" s="3222"/>
      <c r="G3" s="3222"/>
      <c r="H3" s="3222"/>
      <c r="I3" s="3222"/>
      <c r="J3" s="3222"/>
      <c r="K3" s="3222"/>
      <c r="L3" s="3222"/>
      <c r="M3" s="3222"/>
      <c r="N3" s="3222"/>
      <c r="O3" s="3222"/>
      <c r="P3" s="3222"/>
      <c r="Q3" s="3222"/>
      <c r="R3" s="3222"/>
      <c r="S3" s="3213" t="s">
        <v>17</v>
      </c>
      <c r="T3" s="3213"/>
      <c r="U3" s="3213"/>
      <c r="V3" s="3212">
        <v>45382</v>
      </c>
      <c r="W3" s="3213"/>
      <c r="X3" s="159" t="s">
        <v>5</v>
      </c>
      <c r="Y3" s="160">
        <v>2024</v>
      </c>
      <c r="Z3" s="67"/>
      <c r="AA3" s="68"/>
      <c r="AB3" s="69"/>
      <c r="AC3" s="68"/>
    </row>
    <row r="4" spans="1:29" s="27" customFormat="1" ht="25.5" customHeight="1">
      <c r="A4" s="3155"/>
      <c r="B4" s="3155"/>
      <c r="C4" s="3155"/>
      <c r="D4" s="3155"/>
      <c r="E4" s="3155"/>
      <c r="F4" s="3155"/>
      <c r="G4" s="3155"/>
      <c r="H4" s="3155"/>
      <c r="I4" s="3155"/>
      <c r="J4" s="3155"/>
      <c r="K4" s="3155"/>
      <c r="L4" s="3155"/>
      <c r="M4" s="3155"/>
      <c r="N4" s="3155"/>
      <c r="O4" s="3155"/>
      <c r="P4" s="3155"/>
      <c r="Q4" s="3155"/>
      <c r="R4" s="3155"/>
      <c r="S4" s="3155"/>
      <c r="T4" s="3155"/>
      <c r="U4" s="3155"/>
      <c r="V4" s="3155"/>
      <c r="W4" s="3155"/>
      <c r="X4" s="3155"/>
      <c r="Y4" s="3155"/>
      <c r="Z4" s="67"/>
      <c r="AA4" s="68"/>
      <c r="AB4" s="69"/>
      <c r="AC4" s="68"/>
    </row>
    <row r="5" spans="1:29" s="27" customFormat="1" ht="53.25" customHeight="1">
      <c r="A5" s="2944" t="s">
        <v>88</v>
      </c>
      <c r="B5" s="2944" t="s">
        <v>4</v>
      </c>
      <c r="C5" s="2944" t="s">
        <v>3</v>
      </c>
      <c r="D5" s="3214" t="s">
        <v>108</v>
      </c>
      <c r="E5" s="2944" t="s">
        <v>2</v>
      </c>
      <c r="F5" s="3209" t="s">
        <v>89</v>
      </c>
      <c r="G5" s="2944" t="s">
        <v>106</v>
      </c>
      <c r="H5" s="3209" t="s">
        <v>107</v>
      </c>
      <c r="I5" s="2944" t="s">
        <v>8</v>
      </c>
      <c r="J5" s="2944" t="s">
        <v>9</v>
      </c>
      <c r="K5" s="3207" t="s">
        <v>10</v>
      </c>
      <c r="L5" s="3223" t="s">
        <v>11</v>
      </c>
      <c r="M5" s="3216" t="s">
        <v>100</v>
      </c>
      <c r="N5" s="3203" t="s">
        <v>12</v>
      </c>
      <c r="O5" s="3203" t="s">
        <v>86</v>
      </c>
      <c r="P5" s="3218" t="s">
        <v>1</v>
      </c>
      <c r="Q5" s="3205" t="s">
        <v>13</v>
      </c>
      <c r="R5" s="3205" t="s">
        <v>14</v>
      </c>
      <c r="S5" s="3205" t="s">
        <v>16</v>
      </c>
      <c r="T5" s="3203" t="s">
        <v>15</v>
      </c>
      <c r="U5" s="3203" t="s">
        <v>103</v>
      </c>
      <c r="V5" s="2944" t="s">
        <v>6</v>
      </c>
      <c r="W5" s="2944" t="s">
        <v>7</v>
      </c>
      <c r="X5" s="3220" t="s">
        <v>0</v>
      </c>
      <c r="Y5" s="2946" t="s">
        <v>90</v>
      </c>
      <c r="Z5" s="67"/>
      <c r="AA5" s="68"/>
      <c r="AB5" s="69"/>
      <c r="AC5" s="68"/>
    </row>
    <row r="6" spans="1:29" s="27" customFormat="1" ht="42.75" customHeight="1">
      <c r="A6" s="2923"/>
      <c r="B6" s="2923"/>
      <c r="C6" s="2923"/>
      <c r="D6" s="3215"/>
      <c r="E6" s="2923"/>
      <c r="F6" s="3210"/>
      <c r="G6" s="2923"/>
      <c r="H6" s="3210"/>
      <c r="I6" s="2923"/>
      <c r="J6" s="2923"/>
      <c r="K6" s="3208"/>
      <c r="L6" s="3224"/>
      <c r="M6" s="3217"/>
      <c r="N6" s="3204"/>
      <c r="O6" s="3204"/>
      <c r="P6" s="3219"/>
      <c r="Q6" s="3206"/>
      <c r="R6" s="3206"/>
      <c r="S6" s="3206"/>
      <c r="T6" s="3204"/>
      <c r="U6" s="3204"/>
      <c r="V6" s="2923"/>
      <c r="W6" s="2923"/>
      <c r="X6" s="3221"/>
      <c r="Y6" s="2925"/>
      <c r="Z6" s="67"/>
      <c r="AA6" s="70"/>
      <c r="AB6" s="71"/>
      <c r="AC6" s="70"/>
    </row>
    <row r="7" spans="1:29" ht="15.6">
      <c r="A7" s="1909"/>
      <c r="B7" s="1974">
        <v>52</v>
      </c>
      <c r="C7" s="1974" t="s">
        <v>114</v>
      </c>
      <c r="D7" s="1910" t="s">
        <v>162</v>
      </c>
      <c r="E7" s="1911"/>
      <c r="F7" s="1912"/>
      <c r="G7" s="1913"/>
      <c r="H7" s="1912"/>
      <c r="I7" s="1913"/>
      <c r="J7" s="1913"/>
      <c r="K7" s="1912"/>
      <c r="L7" s="1913"/>
      <c r="M7" s="1120"/>
      <c r="N7" s="1914"/>
      <c r="O7" s="1914"/>
      <c r="P7" s="1123"/>
      <c r="Q7" s="1123"/>
      <c r="R7" s="1123"/>
      <c r="S7" s="1123"/>
      <c r="T7" s="1915"/>
      <c r="U7" s="1915"/>
      <c r="V7" s="1916"/>
      <c r="W7" s="1916"/>
      <c r="X7" s="1123"/>
      <c r="Y7" s="1917"/>
    </row>
    <row r="8" spans="1:29" ht="15.6">
      <c r="A8" s="1918"/>
      <c r="B8" s="1975">
        <v>5203</v>
      </c>
      <c r="C8" s="1975" t="s">
        <v>115</v>
      </c>
      <c r="D8" s="1919" t="s">
        <v>163</v>
      </c>
      <c r="E8" s="1920"/>
      <c r="F8" s="1921"/>
      <c r="G8" s="1922"/>
      <c r="H8" s="1921"/>
      <c r="I8" s="1922"/>
      <c r="J8" s="1922"/>
      <c r="K8" s="1921"/>
      <c r="L8" s="1922"/>
      <c r="M8" s="847"/>
      <c r="N8" s="846"/>
      <c r="O8" s="846"/>
      <c r="P8" s="1024"/>
      <c r="Q8" s="1024"/>
      <c r="R8" s="1024"/>
      <c r="S8" s="1024"/>
      <c r="T8" s="1923"/>
      <c r="U8" s="1923"/>
      <c r="V8" s="1924"/>
      <c r="W8" s="1924"/>
      <c r="X8" s="1024"/>
      <c r="Y8" s="1925"/>
    </row>
    <row r="9" spans="1:29" ht="14.4">
      <c r="A9" s="1918"/>
      <c r="B9" s="1976">
        <v>5203007</v>
      </c>
      <c r="C9" s="1976" t="s">
        <v>116</v>
      </c>
      <c r="D9" s="1918" t="s">
        <v>164</v>
      </c>
      <c r="E9" s="1920"/>
      <c r="F9" s="1926"/>
      <c r="G9" s="1927"/>
      <c r="H9" s="1926"/>
      <c r="I9" s="1927"/>
      <c r="J9" s="1927"/>
      <c r="K9" s="1921"/>
      <c r="L9" s="1922"/>
      <c r="M9" s="847"/>
      <c r="N9" s="850"/>
      <c r="O9" s="850"/>
      <c r="P9" s="846"/>
      <c r="Q9" s="1024"/>
      <c r="R9" s="1024"/>
      <c r="S9" s="1024"/>
      <c r="T9" s="1923"/>
      <c r="U9" s="1923"/>
      <c r="V9" s="1924"/>
      <c r="W9" s="1924"/>
      <c r="X9" s="1024"/>
      <c r="Y9" s="578"/>
    </row>
    <row r="10" spans="1:29">
      <c r="A10" s="1928"/>
      <c r="B10" s="1977">
        <v>52030070009</v>
      </c>
      <c r="C10" s="1977" t="s">
        <v>117</v>
      </c>
      <c r="D10" s="1928" t="s">
        <v>3417</v>
      </c>
      <c r="E10" s="1920" t="s">
        <v>3418</v>
      </c>
      <c r="F10" s="1929"/>
      <c r="G10" s="1920"/>
      <c r="H10" s="1929"/>
      <c r="I10" s="1920"/>
      <c r="J10" s="1920"/>
      <c r="K10" s="1929">
        <f>K11</f>
        <v>7700</v>
      </c>
      <c r="L10" s="1930"/>
      <c r="M10" s="853"/>
      <c r="N10" s="856"/>
      <c r="O10" s="856"/>
      <c r="P10" s="857"/>
      <c r="Q10" s="880"/>
      <c r="R10" s="880"/>
      <c r="S10" s="880"/>
      <c r="T10" s="1423"/>
      <c r="U10" s="1423"/>
      <c r="V10" s="1931"/>
      <c r="W10" s="1931"/>
      <c r="X10" s="880"/>
      <c r="Y10" s="578"/>
    </row>
    <row r="11" spans="1:29">
      <c r="A11" s="3197">
        <v>4151</v>
      </c>
      <c r="B11" s="3197"/>
      <c r="C11" s="3197" t="s">
        <v>123</v>
      </c>
      <c r="D11" s="3198" t="s">
        <v>3419</v>
      </c>
      <c r="E11" s="1932" t="s">
        <v>3420</v>
      </c>
      <c r="F11" s="1933"/>
      <c r="G11" s="1932"/>
      <c r="H11" s="1933"/>
      <c r="I11" s="1932"/>
      <c r="J11" s="1932"/>
      <c r="K11" s="1933">
        <f>K12+K13</f>
        <v>7700</v>
      </c>
      <c r="L11" s="1934">
        <f>L12+L13</f>
        <v>1</v>
      </c>
      <c r="M11" s="1424">
        <v>119</v>
      </c>
      <c r="N11" s="1982">
        <f>+M11/K11</f>
        <v>1.5454545454545455E-2</v>
      </c>
      <c r="O11" s="3196">
        <f>IF(Q12&gt;0, N12,"na")</f>
        <v>3.4000000000000002E-2</v>
      </c>
      <c r="P11" s="1935">
        <f>P12+P13</f>
        <v>2135480878</v>
      </c>
      <c r="Q11" s="1936">
        <f>Q12+Q13</f>
        <v>2135480878</v>
      </c>
      <c r="R11" s="1936">
        <f>R12+R13</f>
        <v>167603000</v>
      </c>
      <c r="S11" s="1436">
        <f>S12+S13</f>
        <v>0</v>
      </c>
      <c r="T11" s="1937">
        <f>IF(Q11&gt;0,R11/Q11,0)</f>
        <v>7.8484898519423779E-2</v>
      </c>
      <c r="U11" s="1937">
        <f>+IF(R11&gt;0,S11/R11,0)</f>
        <v>0</v>
      </c>
      <c r="V11" s="1938"/>
      <c r="W11" s="1938"/>
      <c r="X11" s="1423"/>
      <c r="Y11" s="1939"/>
    </row>
    <row r="12" spans="1:29" ht="250.8">
      <c r="A12" s="3197"/>
      <c r="B12" s="3197"/>
      <c r="C12" s="3197"/>
      <c r="D12" s="3198"/>
      <c r="E12" s="1920" t="s">
        <v>3421</v>
      </c>
      <c r="F12" s="1929"/>
      <c r="G12" s="3198" t="s">
        <v>3422</v>
      </c>
      <c r="H12" s="1929"/>
      <c r="I12" s="1920" t="s">
        <v>3423</v>
      </c>
      <c r="J12" s="1920" t="s">
        <v>3424</v>
      </c>
      <c r="K12" s="1929">
        <v>3500</v>
      </c>
      <c r="L12" s="1940">
        <v>0.6</v>
      </c>
      <c r="M12" s="853">
        <v>119</v>
      </c>
      <c r="N12" s="3211">
        <f>+M12/K12</f>
        <v>3.4000000000000002E-2</v>
      </c>
      <c r="O12" s="3196"/>
      <c r="P12" s="1109">
        <v>1270923975</v>
      </c>
      <c r="Q12" s="1109">
        <v>1270923975</v>
      </c>
      <c r="R12" s="1109">
        <v>102603000</v>
      </c>
      <c r="S12" s="1109">
        <v>0</v>
      </c>
      <c r="T12" s="1937">
        <f>IF(Q12&gt;0,R12/Q12,0)</f>
        <v>8.0731028777704814E-2</v>
      </c>
      <c r="U12" s="1937">
        <f>+IF(R12&gt;0,S12/R12,0)</f>
        <v>0</v>
      </c>
      <c r="V12" s="1931">
        <v>45314</v>
      </c>
      <c r="W12" s="1931">
        <v>45656</v>
      </c>
      <c r="X12" s="857" t="s">
        <v>3425</v>
      </c>
      <c r="Y12" s="3201" t="s">
        <v>3426</v>
      </c>
    </row>
    <row r="13" spans="1:29" ht="52.8">
      <c r="A13" s="3197"/>
      <c r="B13" s="3197"/>
      <c r="C13" s="3197"/>
      <c r="D13" s="3198"/>
      <c r="E13" s="1920" t="s">
        <v>3427</v>
      </c>
      <c r="F13" s="1929"/>
      <c r="G13" s="3198"/>
      <c r="H13" s="1929"/>
      <c r="I13" s="1920" t="s">
        <v>3428</v>
      </c>
      <c r="J13" s="1920" t="s">
        <v>3429</v>
      </c>
      <c r="K13" s="1941">
        <f>0.7*1000*6</f>
        <v>4200</v>
      </c>
      <c r="L13" s="1940">
        <v>0.4</v>
      </c>
      <c r="M13" s="853">
        <v>0</v>
      </c>
      <c r="N13" s="3211"/>
      <c r="O13" s="3196"/>
      <c r="P13" s="853">
        <v>864556903</v>
      </c>
      <c r="Q13" s="1109">
        <v>864556903</v>
      </c>
      <c r="R13" s="1109">
        <v>65000000</v>
      </c>
      <c r="S13" s="880">
        <v>0</v>
      </c>
      <c r="T13" s="1937">
        <f>IF(Q13&gt;0,R13/Q13,0)</f>
        <v>7.5183021238337158E-2</v>
      </c>
      <c r="U13" s="1937">
        <f>+IF(R13&gt;0,S13/R13,0)</f>
        <v>0</v>
      </c>
      <c r="V13" s="1931">
        <v>45314</v>
      </c>
      <c r="W13" s="1931">
        <v>45656</v>
      </c>
      <c r="X13" s="857" t="s">
        <v>3430</v>
      </c>
      <c r="Y13" s="3201"/>
    </row>
    <row r="14" spans="1:29" ht="15.6">
      <c r="A14" s="1979"/>
      <c r="B14" s="1979">
        <v>53</v>
      </c>
      <c r="C14" s="1979" t="s">
        <v>114</v>
      </c>
      <c r="D14" s="1942" t="s">
        <v>189</v>
      </c>
      <c r="E14" s="1943"/>
      <c r="F14" s="1944"/>
      <c r="G14" s="1943"/>
      <c r="H14" s="1944"/>
      <c r="I14" s="1943"/>
      <c r="J14" s="1943"/>
      <c r="K14" s="1944"/>
      <c r="L14" s="1945"/>
      <c r="M14" s="853"/>
      <c r="N14" s="1211"/>
      <c r="O14" s="2610"/>
      <c r="P14" s="880"/>
      <c r="Q14" s="1109"/>
      <c r="R14" s="880"/>
      <c r="S14" s="880"/>
      <c r="T14" s="1423"/>
      <c r="U14" s="1423"/>
      <c r="V14" s="1946"/>
      <c r="W14" s="1946"/>
      <c r="X14" s="880"/>
      <c r="Y14" s="1947"/>
    </row>
    <row r="15" spans="1:29" ht="15.6">
      <c r="A15" s="1975"/>
      <c r="B15" s="1975">
        <v>5301</v>
      </c>
      <c r="C15" s="1975" t="s">
        <v>115</v>
      </c>
      <c r="D15" s="1919" t="s">
        <v>3431</v>
      </c>
      <c r="E15" s="1920"/>
      <c r="F15" s="1929"/>
      <c r="G15" s="1920"/>
      <c r="H15" s="1929"/>
      <c r="I15" s="1920"/>
      <c r="J15" s="1920"/>
      <c r="K15" s="1929"/>
      <c r="L15" s="1930"/>
      <c r="M15" s="853"/>
      <c r="N15" s="1211"/>
      <c r="O15" s="2610"/>
      <c r="P15" s="880"/>
      <c r="Q15" s="1109"/>
      <c r="R15" s="880"/>
      <c r="S15" s="880"/>
      <c r="T15" s="1423"/>
      <c r="U15" s="1423"/>
      <c r="V15" s="1931"/>
      <c r="W15" s="1931"/>
      <c r="X15" s="880"/>
      <c r="Y15" s="578"/>
    </row>
    <row r="16" spans="1:29">
      <c r="A16" s="1976"/>
      <c r="B16" s="1976">
        <v>5301004</v>
      </c>
      <c r="C16" s="1976" t="s">
        <v>116</v>
      </c>
      <c r="D16" s="1918" t="s">
        <v>1005</v>
      </c>
      <c r="E16" s="1920"/>
      <c r="F16" s="1929"/>
      <c r="G16" s="1920"/>
      <c r="H16" s="1929"/>
      <c r="I16" s="1920"/>
      <c r="J16" s="1920"/>
      <c r="K16" s="1929"/>
      <c r="L16" s="1930"/>
      <c r="M16" s="853"/>
      <c r="N16" s="1211"/>
      <c r="O16" s="2610"/>
      <c r="P16" s="880"/>
      <c r="Q16" s="1109"/>
      <c r="R16" s="880"/>
      <c r="S16" s="880"/>
      <c r="T16" s="1423"/>
      <c r="U16" s="1423"/>
      <c r="V16" s="1931"/>
      <c r="W16" s="1931"/>
      <c r="X16" s="880"/>
      <c r="Y16" s="578"/>
    </row>
    <row r="17" spans="1:25">
      <c r="A17" s="1977"/>
      <c r="B17" s="1977">
        <v>53010040006</v>
      </c>
      <c r="C17" s="1977" t="s">
        <v>117</v>
      </c>
      <c r="D17" s="1928" t="s">
        <v>3432</v>
      </c>
      <c r="E17" s="1920" t="s">
        <v>3433</v>
      </c>
      <c r="F17" s="1929"/>
      <c r="G17" s="1920"/>
      <c r="H17" s="1929"/>
      <c r="I17" s="1920"/>
      <c r="J17" s="1920"/>
      <c r="K17" s="1929">
        <f>K18</f>
        <v>250</v>
      </c>
      <c r="L17" s="1930"/>
      <c r="M17" s="853"/>
      <c r="N17" s="1211"/>
      <c r="O17" s="2610"/>
      <c r="P17" s="880"/>
      <c r="Q17" s="1109"/>
      <c r="R17" s="880"/>
      <c r="S17" s="880"/>
      <c r="T17" s="1937"/>
      <c r="U17" s="1937"/>
      <c r="V17" s="1931"/>
      <c r="W17" s="1931"/>
      <c r="X17" s="880"/>
      <c r="Y17" s="578"/>
    </row>
    <row r="18" spans="1:25">
      <c r="A18" s="3197">
        <v>4151</v>
      </c>
      <c r="B18" s="3197"/>
      <c r="C18" s="3197" t="s">
        <v>123</v>
      </c>
      <c r="D18" s="3198" t="s">
        <v>3434</v>
      </c>
      <c r="E18" s="1932" t="s">
        <v>3435</v>
      </c>
      <c r="F18" s="1933"/>
      <c r="G18" s="1932"/>
      <c r="H18" s="1933"/>
      <c r="I18" s="1932"/>
      <c r="J18" s="1932"/>
      <c r="K18" s="1933">
        <f>K19</f>
        <v>250</v>
      </c>
      <c r="L18" s="1934">
        <f>L19</f>
        <v>1</v>
      </c>
      <c r="M18" s="1423">
        <v>0</v>
      </c>
      <c r="N18" s="1429">
        <v>0</v>
      </c>
      <c r="O18" s="3196">
        <f>IF(Q18&gt;0, N19,"na")</f>
        <v>0</v>
      </c>
      <c r="P18" s="1436">
        <f>P19</f>
        <v>1781288527</v>
      </c>
      <c r="Q18" s="1436">
        <f>Q19</f>
        <v>1781288527</v>
      </c>
      <c r="R18" s="1436">
        <f>R19</f>
        <v>0</v>
      </c>
      <c r="S18" s="1436">
        <f>S19</f>
        <v>0</v>
      </c>
      <c r="T18" s="1937">
        <f>+IF(Q18&gt;0,R18/Q18,0)</f>
        <v>0</v>
      </c>
      <c r="U18" s="1937">
        <f t="shared" ref="U18:U19" si="0">+IF(R18&gt;0,S18/R18,0)</f>
        <v>0</v>
      </c>
      <c r="V18" s="1938"/>
      <c r="W18" s="1938"/>
      <c r="X18" s="1423"/>
      <c r="Y18" s="1939"/>
    </row>
    <row r="19" spans="1:25" ht="79.2">
      <c r="A19" s="3197"/>
      <c r="B19" s="3197"/>
      <c r="C19" s="3197"/>
      <c r="D19" s="3198"/>
      <c r="E19" s="1920" t="s">
        <v>3436</v>
      </c>
      <c r="F19" s="1929"/>
      <c r="G19" s="1920" t="s">
        <v>3437</v>
      </c>
      <c r="H19" s="1929"/>
      <c r="I19" s="1920" t="s">
        <v>3438</v>
      </c>
      <c r="J19" s="1920" t="s">
        <v>3439</v>
      </c>
      <c r="K19" s="1929">
        <v>250</v>
      </c>
      <c r="L19" s="1940">
        <v>1</v>
      </c>
      <c r="M19" s="880">
        <v>0</v>
      </c>
      <c r="N19" s="1060">
        <v>0</v>
      </c>
      <c r="O19" s="3196"/>
      <c r="P19" s="1109">
        <v>1781288527</v>
      </c>
      <c r="Q19" s="1109">
        <v>1781288527</v>
      </c>
      <c r="R19" s="1109">
        <v>0</v>
      </c>
      <c r="S19" s="1109">
        <v>0</v>
      </c>
      <c r="T19" s="1937">
        <f>+IF(Q19&gt;0,R19/Q19,0)</f>
        <v>0</v>
      </c>
      <c r="U19" s="1937">
        <f t="shared" si="0"/>
        <v>0</v>
      </c>
      <c r="V19" s="1931">
        <v>45314</v>
      </c>
      <c r="W19" s="1931">
        <v>45656</v>
      </c>
      <c r="X19" s="857" t="s">
        <v>3440</v>
      </c>
      <c r="Y19" s="578" t="s">
        <v>3426</v>
      </c>
    </row>
    <row r="20" spans="1:25" ht="15.6">
      <c r="A20" s="1976"/>
      <c r="B20" s="1975">
        <v>5304</v>
      </c>
      <c r="C20" s="1976" t="s">
        <v>115</v>
      </c>
      <c r="D20" s="1918" t="s">
        <v>3441</v>
      </c>
      <c r="E20" s="1920"/>
      <c r="F20" s="1929"/>
      <c r="G20" s="1920"/>
      <c r="H20" s="1929"/>
      <c r="I20" s="1920"/>
      <c r="J20" s="1920"/>
      <c r="K20" s="1929"/>
      <c r="L20" s="1930"/>
      <c r="M20" s="880"/>
      <c r="N20" s="1060"/>
      <c r="O20" s="3196"/>
      <c r="P20" s="880"/>
      <c r="Q20" s="1109"/>
      <c r="R20" s="880"/>
      <c r="S20" s="880"/>
      <c r="T20" s="1423"/>
      <c r="U20" s="1423"/>
      <c r="V20" s="1820"/>
      <c r="W20" s="1820"/>
      <c r="X20" s="880"/>
      <c r="Y20" s="465"/>
    </row>
    <row r="21" spans="1:25">
      <c r="A21" s="1976"/>
      <c r="B21" s="1976">
        <v>5304001</v>
      </c>
      <c r="C21" s="1976" t="s">
        <v>116</v>
      </c>
      <c r="D21" s="1918" t="s">
        <v>3442</v>
      </c>
      <c r="E21" s="1920"/>
      <c r="F21" s="1929"/>
      <c r="G21" s="1920"/>
      <c r="H21" s="1929"/>
      <c r="I21" s="1920"/>
      <c r="J21" s="1920"/>
      <c r="K21" s="1929"/>
      <c r="L21" s="1930"/>
      <c r="M21" s="880"/>
      <c r="N21" s="1060"/>
      <c r="O21" s="2774"/>
      <c r="P21" s="880"/>
      <c r="Q21" s="1109"/>
      <c r="R21" s="880"/>
      <c r="S21" s="880"/>
      <c r="T21" s="1423"/>
      <c r="U21" s="1423"/>
      <c r="V21" s="1820"/>
      <c r="W21" s="1820"/>
      <c r="X21" s="880"/>
      <c r="Y21" s="465"/>
    </row>
    <row r="22" spans="1:25">
      <c r="A22" s="1977"/>
      <c r="B22" s="1977">
        <v>53040010003</v>
      </c>
      <c r="C22" s="1977" t="s">
        <v>117</v>
      </c>
      <c r="D22" s="1928" t="s">
        <v>3443</v>
      </c>
      <c r="E22" s="1920" t="s">
        <v>3444</v>
      </c>
      <c r="F22" s="1929"/>
      <c r="G22" s="1920"/>
      <c r="H22" s="1929"/>
      <c r="I22" s="1920"/>
      <c r="J22" s="1920"/>
      <c r="K22" s="1929">
        <f>K23</f>
        <v>27</v>
      </c>
      <c r="L22" s="1930"/>
      <c r="M22" s="880"/>
      <c r="N22" s="1060"/>
      <c r="O22" s="2774"/>
      <c r="P22" s="880"/>
      <c r="Q22" s="1109"/>
      <c r="R22" s="880"/>
      <c r="S22" s="880"/>
      <c r="T22" s="1423"/>
      <c r="U22" s="1423"/>
      <c r="V22" s="1931"/>
      <c r="W22" s="1931"/>
      <c r="X22" s="880"/>
      <c r="Y22" s="578"/>
    </row>
    <row r="23" spans="1:25">
      <c r="A23" s="3197">
        <v>4151</v>
      </c>
      <c r="B23" s="3197"/>
      <c r="C23" s="3197" t="s">
        <v>123</v>
      </c>
      <c r="D23" s="3198" t="s">
        <v>3445</v>
      </c>
      <c r="E23" s="1932" t="s">
        <v>3446</v>
      </c>
      <c r="F23" s="1933"/>
      <c r="G23" s="1932"/>
      <c r="H23" s="1933"/>
      <c r="I23" s="1932"/>
      <c r="J23" s="1932"/>
      <c r="K23" s="1933">
        <f>K24</f>
        <v>27</v>
      </c>
      <c r="L23" s="1934">
        <f>L24</f>
        <v>1</v>
      </c>
      <c r="M23" s="1423">
        <v>0</v>
      </c>
      <c r="N23" s="1429">
        <v>0</v>
      </c>
      <c r="O23" s="3196">
        <f>IF(Q23&gt;0, N24,"na")</f>
        <v>0</v>
      </c>
      <c r="P23" s="1436">
        <f>P24</f>
        <v>854192351</v>
      </c>
      <c r="Q23" s="1436">
        <f>Q24</f>
        <v>854192351</v>
      </c>
      <c r="R23" s="1436">
        <f>R24</f>
        <v>2579000</v>
      </c>
      <c r="S23" s="1423">
        <f>S24</f>
        <v>0</v>
      </c>
      <c r="T23" s="1948">
        <f>IF(Q23&gt;0,R23/Q23,0)</f>
        <v>3.0192262866563647E-3</v>
      </c>
      <c r="U23" s="1937">
        <f>IF(R24&gt;0,S24/R24,0)</f>
        <v>0</v>
      </c>
      <c r="V23" s="1938"/>
      <c r="W23" s="1938"/>
      <c r="X23" s="1423"/>
      <c r="Y23" s="1939"/>
    </row>
    <row r="24" spans="1:25" ht="105.6">
      <c r="A24" s="3197"/>
      <c r="B24" s="3197"/>
      <c r="C24" s="3197"/>
      <c r="D24" s="3198"/>
      <c r="E24" s="1920" t="s">
        <v>3447</v>
      </c>
      <c r="F24" s="1929"/>
      <c r="G24" s="1920" t="s">
        <v>3448</v>
      </c>
      <c r="H24" s="1929"/>
      <c r="I24" s="1920" t="s">
        <v>3449</v>
      </c>
      <c r="J24" s="1920" t="s">
        <v>3450</v>
      </c>
      <c r="K24" s="1929">
        <v>27</v>
      </c>
      <c r="L24" s="1940">
        <v>1</v>
      </c>
      <c r="M24" s="880">
        <v>0</v>
      </c>
      <c r="N24" s="1060">
        <v>0</v>
      </c>
      <c r="O24" s="3196"/>
      <c r="P24" s="1109">
        <v>854192351</v>
      </c>
      <c r="Q24" s="1109">
        <v>854192351</v>
      </c>
      <c r="R24" s="1109">
        <v>2579000</v>
      </c>
      <c r="S24" s="880">
        <v>0</v>
      </c>
      <c r="T24" s="1937">
        <f>IF(Q24&gt;0,R24/Q24,0)</f>
        <v>3.0192262866563647E-3</v>
      </c>
      <c r="U24" s="1937">
        <f>IF(R25&gt;0,S25/R25,0)</f>
        <v>0</v>
      </c>
      <c r="V24" s="1931">
        <v>45314</v>
      </c>
      <c r="W24" s="1931">
        <v>45656</v>
      </c>
      <c r="X24" s="857" t="s">
        <v>3451</v>
      </c>
      <c r="Y24" s="578" t="s">
        <v>3426</v>
      </c>
    </row>
    <row r="25" spans="1:25">
      <c r="A25" s="1976"/>
      <c r="B25" s="1976">
        <v>5304003</v>
      </c>
      <c r="C25" s="1976" t="s">
        <v>116</v>
      </c>
      <c r="D25" s="1918" t="s">
        <v>3452</v>
      </c>
      <c r="E25" s="1920"/>
      <c r="F25" s="1949"/>
      <c r="G25" s="1920"/>
      <c r="H25" s="1949"/>
      <c r="I25" s="1920"/>
      <c r="J25" s="1920"/>
      <c r="K25" s="1949"/>
      <c r="L25" s="1930"/>
      <c r="M25" s="880"/>
      <c r="N25" s="1060"/>
      <c r="O25" s="3196"/>
      <c r="P25" s="880"/>
      <c r="Q25" s="1109"/>
      <c r="R25" s="880"/>
      <c r="S25" s="880"/>
      <c r="T25" s="1937"/>
      <c r="U25" s="1937"/>
      <c r="V25" s="1946"/>
      <c r="W25" s="1946"/>
      <c r="X25" s="880"/>
      <c r="Y25" s="1947"/>
    </row>
    <row r="26" spans="1:25">
      <c r="A26" s="1977"/>
      <c r="B26" s="1977">
        <v>53040030003</v>
      </c>
      <c r="C26" s="1977" t="s">
        <v>117</v>
      </c>
      <c r="D26" s="1928" t="s">
        <v>3453</v>
      </c>
      <c r="E26" s="1920" t="s">
        <v>3454</v>
      </c>
      <c r="F26" s="1941"/>
      <c r="G26" s="1920"/>
      <c r="H26" s="1941"/>
      <c r="I26" s="1920"/>
      <c r="J26" s="1920"/>
      <c r="K26" s="1941">
        <f>K27</f>
        <v>0</v>
      </c>
      <c r="L26" s="1930"/>
      <c r="M26" s="880"/>
      <c r="N26" s="1060"/>
      <c r="O26" s="2774"/>
      <c r="P26" s="880"/>
      <c r="Q26" s="1109"/>
      <c r="R26" s="880"/>
      <c r="S26" s="880"/>
      <c r="T26" s="1423"/>
      <c r="U26" s="1423"/>
      <c r="V26" s="1946"/>
      <c r="W26" s="1946"/>
      <c r="X26" s="880"/>
      <c r="Y26" s="1947"/>
    </row>
    <row r="27" spans="1:25">
      <c r="A27" s="3197">
        <v>4151</v>
      </c>
      <c r="B27" s="3197"/>
      <c r="C27" s="3197" t="s">
        <v>123</v>
      </c>
      <c r="D27" s="3198" t="s">
        <v>3455</v>
      </c>
      <c r="E27" s="1932" t="s">
        <v>3456</v>
      </c>
      <c r="F27" s="1950"/>
      <c r="G27" s="1932"/>
      <c r="H27" s="1951"/>
      <c r="I27" s="1932"/>
      <c r="J27" s="1932"/>
      <c r="K27" s="1951">
        <v>0</v>
      </c>
      <c r="L27" s="1934">
        <f>L28+L29+L30</f>
        <v>1</v>
      </c>
      <c r="M27" s="1423">
        <v>0</v>
      </c>
      <c r="N27" s="1429">
        <v>0</v>
      </c>
      <c r="O27" s="3196">
        <f>IF(Q27&gt;0, N27,"na")</f>
        <v>0</v>
      </c>
      <c r="P27" s="1952">
        <f>P28+P29+P30</f>
        <v>85994999224</v>
      </c>
      <c r="Q27" s="1936">
        <f>Q28+Q29+Q30</f>
        <v>85994999224</v>
      </c>
      <c r="R27" s="1436">
        <f>R28+R29+R30</f>
        <v>0</v>
      </c>
      <c r="S27" s="1436">
        <f>S28+S29+S30</f>
        <v>0</v>
      </c>
      <c r="T27" s="1948">
        <f>IF(Q27&gt;0,R27/Q27,0)</f>
        <v>0</v>
      </c>
      <c r="U27" s="1937">
        <f>IF(R28&gt;0,S28/R28,0)</f>
        <v>0</v>
      </c>
      <c r="V27" s="1938"/>
      <c r="W27" s="1938"/>
      <c r="X27" s="1423"/>
      <c r="Y27" s="1953"/>
    </row>
    <row r="28" spans="1:25" ht="26.4">
      <c r="A28" s="3197"/>
      <c r="B28" s="3197"/>
      <c r="C28" s="3197"/>
      <c r="D28" s="3198"/>
      <c r="E28" s="1920" t="s">
        <v>3457</v>
      </c>
      <c r="F28" s="1941"/>
      <c r="G28" s="3198" t="s">
        <v>3458</v>
      </c>
      <c r="H28" s="1941"/>
      <c r="I28" s="1920" t="s">
        <v>3459</v>
      </c>
      <c r="J28" s="1920" t="s">
        <v>3460</v>
      </c>
      <c r="K28" s="1941">
        <v>2</v>
      </c>
      <c r="L28" s="1940">
        <v>0.3</v>
      </c>
      <c r="M28" s="880">
        <v>0</v>
      </c>
      <c r="N28" s="1983">
        <v>0</v>
      </c>
      <c r="O28" s="3196"/>
      <c r="P28" s="1954">
        <v>25432833339</v>
      </c>
      <c r="Q28" s="1954">
        <v>25432833339</v>
      </c>
      <c r="R28" s="1109">
        <v>0</v>
      </c>
      <c r="S28" s="1109">
        <v>0</v>
      </c>
      <c r="T28" s="1937">
        <f>IF(Q28&gt;0,R28/Q28,0)</f>
        <v>0</v>
      </c>
      <c r="U28" s="1937">
        <f>IF(R29&gt;0,S29/R29,0)</f>
        <v>0</v>
      </c>
      <c r="V28" s="1931">
        <v>45314</v>
      </c>
      <c r="W28" s="1931">
        <v>45656</v>
      </c>
      <c r="X28" s="3066" t="s">
        <v>3461</v>
      </c>
      <c r="Y28" s="3201" t="s">
        <v>3462</v>
      </c>
    </row>
    <row r="29" spans="1:25" ht="26.4">
      <c r="A29" s="3197"/>
      <c r="B29" s="3197"/>
      <c r="C29" s="3197"/>
      <c r="D29" s="3198"/>
      <c r="E29" s="1920" t="s">
        <v>3463</v>
      </c>
      <c r="F29" s="1941"/>
      <c r="G29" s="3198"/>
      <c r="H29" s="1941"/>
      <c r="I29" s="1920" t="s">
        <v>3464</v>
      </c>
      <c r="J29" s="1920" t="s">
        <v>3429</v>
      </c>
      <c r="K29" s="1941">
        <v>14</v>
      </c>
      <c r="L29" s="1940">
        <v>0.25</v>
      </c>
      <c r="M29" s="880">
        <v>0</v>
      </c>
      <c r="N29" s="1983">
        <v>0</v>
      </c>
      <c r="O29" s="3196"/>
      <c r="P29" s="1954">
        <v>21801857976</v>
      </c>
      <c r="Q29" s="1954">
        <v>21801857976</v>
      </c>
      <c r="R29" s="1109">
        <v>0</v>
      </c>
      <c r="S29" s="1109">
        <v>0</v>
      </c>
      <c r="T29" s="1937">
        <f>+IF(Q29&gt;0,R29/Q29,0)</f>
        <v>0</v>
      </c>
      <c r="U29" s="1937">
        <f>+IF(R29&gt;0,S29/R29,0)</f>
        <v>0</v>
      </c>
      <c r="V29" s="1931">
        <v>45314</v>
      </c>
      <c r="W29" s="1931">
        <v>45656</v>
      </c>
      <c r="X29" s="3066"/>
      <c r="Y29" s="3201"/>
    </row>
    <row r="30" spans="1:25" ht="26.4">
      <c r="A30" s="3197"/>
      <c r="B30" s="3197"/>
      <c r="C30" s="3197"/>
      <c r="D30" s="3198"/>
      <c r="E30" s="1920" t="s">
        <v>3465</v>
      </c>
      <c r="F30" s="1941"/>
      <c r="G30" s="3198"/>
      <c r="H30" s="1941"/>
      <c r="I30" s="1920" t="s">
        <v>3466</v>
      </c>
      <c r="J30" s="1920" t="s">
        <v>3467</v>
      </c>
      <c r="K30" s="1941">
        <v>1</v>
      </c>
      <c r="L30" s="1940">
        <v>0.45</v>
      </c>
      <c r="M30" s="880">
        <v>0</v>
      </c>
      <c r="N30" s="1983">
        <v>0</v>
      </c>
      <c r="O30" s="3196"/>
      <c r="P30" s="1954">
        <v>38760307909</v>
      </c>
      <c r="Q30" s="1954">
        <v>38760307909</v>
      </c>
      <c r="R30" s="1109">
        <v>0</v>
      </c>
      <c r="S30" s="1109">
        <v>0</v>
      </c>
      <c r="T30" s="1937">
        <f>+IF(Q30&gt;0,R30/Q30,0)</f>
        <v>0</v>
      </c>
      <c r="U30" s="1937">
        <f t="shared" ref="U30" si="1">+IF(R30&gt;0,S30/R30,0)</f>
        <v>0</v>
      </c>
      <c r="V30" s="1931">
        <v>45314</v>
      </c>
      <c r="W30" s="1931">
        <v>45656</v>
      </c>
      <c r="X30" s="3066"/>
      <c r="Y30" s="3201"/>
    </row>
    <row r="31" spans="1:25">
      <c r="A31" s="1976"/>
      <c r="B31" s="1976">
        <v>5304004</v>
      </c>
      <c r="C31" s="1976" t="s">
        <v>116</v>
      </c>
      <c r="D31" s="1918" t="s">
        <v>3468</v>
      </c>
      <c r="E31" s="1920"/>
      <c r="F31" s="1949"/>
      <c r="G31" s="1920"/>
      <c r="H31" s="1949"/>
      <c r="I31" s="1920"/>
      <c r="J31" s="1920"/>
      <c r="K31" s="1949"/>
      <c r="L31" s="1940"/>
      <c r="M31" s="880"/>
      <c r="N31" s="1060"/>
      <c r="O31" s="2774"/>
      <c r="P31" s="880"/>
      <c r="Q31" s="1109"/>
      <c r="R31" s="880"/>
      <c r="S31" s="880"/>
      <c r="T31" s="1423"/>
      <c r="U31" s="1423"/>
      <c r="V31" s="1931"/>
      <c r="W31" s="1931"/>
      <c r="X31" s="880"/>
      <c r="Y31" s="578"/>
    </row>
    <row r="32" spans="1:25">
      <c r="A32" s="1977"/>
      <c r="B32" s="1977">
        <v>53040040003</v>
      </c>
      <c r="C32" s="1977" t="s">
        <v>117</v>
      </c>
      <c r="D32" s="1928" t="s">
        <v>3469</v>
      </c>
      <c r="E32" s="1920" t="s">
        <v>3454</v>
      </c>
      <c r="F32" s="1949"/>
      <c r="G32" s="1920"/>
      <c r="H32" s="1949"/>
      <c r="I32" s="1920"/>
      <c r="J32" s="1920"/>
      <c r="K32" s="1949"/>
      <c r="L32" s="1930"/>
      <c r="M32" s="880"/>
      <c r="N32" s="1060"/>
      <c r="O32" s="2774"/>
      <c r="P32" s="880"/>
      <c r="Q32" s="1109"/>
      <c r="R32" s="880"/>
      <c r="S32" s="880"/>
      <c r="T32" s="1937"/>
      <c r="U32" s="1937"/>
      <c r="V32" s="1931"/>
      <c r="W32" s="1931"/>
      <c r="X32" s="880"/>
      <c r="Y32" s="578"/>
    </row>
    <row r="33" spans="1:25">
      <c r="A33" s="3197">
        <v>4151</v>
      </c>
      <c r="B33" s="3197"/>
      <c r="C33" s="3197" t="s">
        <v>123</v>
      </c>
      <c r="D33" s="3198" t="s">
        <v>3470</v>
      </c>
      <c r="E33" s="1932" t="s">
        <v>3471</v>
      </c>
      <c r="F33" s="1950"/>
      <c r="G33" s="1932"/>
      <c r="H33" s="1950"/>
      <c r="I33" s="1932"/>
      <c r="J33" s="1932"/>
      <c r="K33" s="1950">
        <f>K34</f>
        <v>6.7220000000000004</v>
      </c>
      <c r="L33" s="1955">
        <f>L34</f>
        <v>1</v>
      </c>
      <c r="M33" s="1423">
        <v>0</v>
      </c>
      <c r="N33" s="1429">
        <v>0</v>
      </c>
      <c r="O33" s="3196">
        <f>IF(Q33&gt;0, N34,"na")</f>
        <v>0</v>
      </c>
      <c r="P33" s="1436">
        <f>P34</f>
        <v>1581246665</v>
      </c>
      <c r="Q33" s="1436">
        <f>Q34</f>
        <v>2360110710</v>
      </c>
      <c r="R33" s="1436">
        <f>R34</f>
        <v>0</v>
      </c>
      <c r="S33" s="1436">
        <f>S34</f>
        <v>0</v>
      </c>
      <c r="T33" s="1937">
        <f t="shared" ref="T33:U39" si="2">+IF(Q33&gt;0,R33/Q33,0)</f>
        <v>0</v>
      </c>
      <c r="U33" s="1937">
        <f t="shared" si="2"/>
        <v>0</v>
      </c>
      <c r="V33" s="1956"/>
      <c r="W33" s="1938"/>
      <c r="X33" s="1423"/>
      <c r="Y33" s="1939"/>
    </row>
    <row r="34" spans="1:25" ht="105.6">
      <c r="A34" s="3197"/>
      <c r="B34" s="3197"/>
      <c r="C34" s="3197"/>
      <c r="D34" s="3198"/>
      <c r="E34" s="1920" t="s">
        <v>3472</v>
      </c>
      <c r="F34" s="1949"/>
      <c r="G34" s="1920" t="s">
        <v>3473</v>
      </c>
      <c r="H34" s="1949"/>
      <c r="I34" s="1920" t="s">
        <v>3474</v>
      </c>
      <c r="J34" s="1920" t="s">
        <v>3475</v>
      </c>
      <c r="K34" s="1949">
        <v>6.7220000000000004</v>
      </c>
      <c r="L34" s="1930">
        <v>1</v>
      </c>
      <c r="M34" s="880">
        <v>0</v>
      </c>
      <c r="N34" s="1060">
        <v>0</v>
      </c>
      <c r="O34" s="3196"/>
      <c r="P34" s="1109">
        <v>1581246665</v>
      </c>
      <c r="Q34" s="1109">
        <v>2360110710</v>
      </c>
      <c r="R34" s="1109">
        <v>0</v>
      </c>
      <c r="S34" s="1109">
        <v>0</v>
      </c>
      <c r="T34" s="1937">
        <f t="shared" si="2"/>
        <v>0</v>
      </c>
      <c r="U34" s="1937">
        <f>+IF(R34&gt;0,S34/R34,0)</f>
        <v>0</v>
      </c>
      <c r="V34" s="1931">
        <v>45314</v>
      </c>
      <c r="W34" s="1931">
        <v>45656</v>
      </c>
      <c r="X34" s="857" t="s">
        <v>3476</v>
      </c>
      <c r="Y34" s="578" t="s">
        <v>3426</v>
      </c>
    </row>
    <row r="35" spans="1:25">
      <c r="A35" s="3197">
        <v>4151</v>
      </c>
      <c r="B35" s="3197"/>
      <c r="C35" s="3197" t="s">
        <v>123</v>
      </c>
      <c r="D35" s="3198" t="s">
        <v>3477</v>
      </c>
      <c r="E35" s="1932" t="s">
        <v>3478</v>
      </c>
      <c r="F35" s="1950"/>
      <c r="G35" s="1932"/>
      <c r="H35" s="1950"/>
      <c r="I35" s="1932"/>
      <c r="J35" s="1932"/>
      <c r="K35" s="1957">
        <f>K36</f>
        <v>0.1</v>
      </c>
      <c r="L35" s="1955">
        <f>L36</f>
        <v>1</v>
      </c>
      <c r="M35" s="1423">
        <v>0</v>
      </c>
      <c r="N35" s="1429">
        <v>0</v>
      </c>
      <c r="O35" s="3196">
        <f>IF(Q35&gt;0, N36,"na")</f>
        <v>0</v>
      </c>
      <c r="P35" s="1436">
        <f>P36</f>
        <v>46519623</v>
      </c>
      <c r="Q35" s="1436">
        <f>Q36</f>
        <v>46519623</v>
      </c>
      <c r="R35" s="1436">
        <f>R36</f>
        <v>0</v>
      </c>
      <c r="S35" s="1436">
        <f>S36</f>
        <v>0</v>
      </c>
      <c r="T35" s="1937">
        <f>IF(Q35&gt;0,R35/Q35,0)</f>
        <v>0</v>
      </c>
      <c r="U35" s="1937">
        <f>IF(R35&gt;0,S35/R35,0)</f>
        <v>0</v>
      </c>
      <c r="V35" s="1938"/>
      <c r="W35" s="1938"/>
      <c r="X35" s="1414"/>
      <c r="Y35" s="1939"/>
    </row>
    <row r="36" spans="1:25" ht="105.6">
      <c r="A36" s="3197"/>
      <c r="B36" s="3197"/>
      <c r="C36" s="3197"/>
      <c r="D36" s="3198"/>
      <c r="E36" s="1920" t="s">
        <v>3479</v>
      </c>
      <c r="F36" s="1949"/>
      <c r="G36" s="1920" t="s">
        <v>3480</v>
      </c>
      <c r="H36" s="1958"/>
      <c r="I36" s="1920" t="s">
        <v>3481</v>
      </c>
      <c r="J36" s="1920" t="s">
        <v>3482</v>
      </c>
      <c r="K36" s="1958">
        <v>0.1</v>
      </c>
      <c r="L36" s="1930">
        <v>1</v>
      </c>
      <c r="M36" s="880">
        <v>0</v>
      </c>
      <c r="N36" s="1060">
        <v>0</v>
      </c>
      <c r="O36" s="3196"/>
      <c r="P36" s="1109">
        <v>46519623</v>
      </c>
      <c r="Q36" s="1109">
        <v>46519623</v>
      </c>
      <c r="R36" s="1109">
        <v>0</v>
      </c>
      <c r="S36" s="1109">
        <v>0</v>
      </c>
      <c r="T36" s="1937">
        <f>IF(Q36&gt;0,R36/Q36,0)</f>
        <v>0</v>
      </c>
      <c r="U36" s="1937">
        <f>IF(R36&gt;0,S36/R36,0)</f>
        <v>0</v>
      </c>
      <c r="V36" s="1931">
        <v>45314</v>
      </c>
      <c r="W36" s="1931">
        <v>45656</v>
      </c>
      <c r="X36" s="857" t="s">
        <v>3483</v>
      </c>
      <c r="Y36" s="578" t="s">
        <v>3426</v>
      </c>
    </row>
    <row r="37" spans="1:25">
      <c r="A37" s="3197">
        <v>4151</v>
      </c>
      <c r="B37" s="3197"/>
      <c r="C37" s="3197" t="s">
        <v>123</v>
      </c>
      <c r="D37" s="3198" t="s">
        <v>3484</v>
      </c>
      <c r="E37" s="1932" t="s">
        <v>3485</v>
      </c>
      <c r="F37" s="1950"/>
      <c r="G37" s="1932"/>
      <c r="H37" s="1950"/>
      <c r="I37" s="1932"/>
      <c r="J37" s="1932"/>
      <c r="K37" s="1950">
        <f>K38</f>
        <v>2.012</v>
      </c>
      <c r="L37" s="1955">
        <f>L38</f>
        <v>1</v>
      </c>
      <c r="M37" s="1423">
        <v>0</v>
      </c>
      <c r="N37" s="1429">
        <v>0</v>
      </c>
      <c r="O37" s="3196">
        <f>IF(Q37&gt;0, N38,"na")</f>
        <v>0</v>
      </c>
      <c r="P37" s="1436">
        <f>P38</f>
        <v>354830085</v>
      </c>
      <c r="Q37" s="1436">
        <f>Q38</f>
        <v>354830085</v>
      </c>
      <c r="R37" s="1436">
        <f>R38</f>
        <v>0</v>
      </c>
      <c r="S37" s="1436">
        <f>S38</f>
        <v>0</v>
      </c>
      <c r="T37" s="1937">
        <f t="shared" si="2"/>
        <v>0</v>
      </c>
      <c r="U37" s="1937">
        <f t="shared" si="2"/>
        <v>0</v>
      </c>
      <c r="V37" s="1956"/>
      <c r="W37" s="1956"/>
      <c r="X37" s="1414"/>
      <c r="Y37" s="1939"/>
    </row>
    <row r="38" spans="1:25" ht="105.6">
      <c r="A38" s="3197"/>
      <c r="B38" s="3197"/>
      <c r="C38" s="3197"/>
      <c r="D38" s="3198"/>
      <c r="E38" s="1920" t="s">
        <v>3486</v>
      </c>
      <c r="F38" s="1949"/>
      <c r="G38" s="1920" t="s">
        <v>3487</v>
      </c>
      <c r="H38" s="1949"/>
      <c r="I38" s="1920" t="s">
        <v>3488</v>
      </c>
      <c r="J38" s="1920" t="s">
        <v>3482</v>
      </c>
      <c r="K38" s="1949">
        <v>2.012</v>
      </c>
      <c r="L38" s="1930">
        <v>1</v>
      </c>
      <c r="M38" s="880">
        <v>0</v>
      </c>
      <c r="N38" s="1060">
        <v>0</v>
      </c>
      <c r="O38" s="3196"/>
      <c r="P38" s="1109">
        <v>354830085</v>
      </c>
      <c r="Q38" s="1109">
        <v>354830085</v>
      </c>
      <c r="R38" s="1109">
        <v>0</v>
      </c>
      <c r="S38" s="1109">
        <v>0</v>
      </c>
      <c r="T38" s="1937">
        <f t="shared" si="2"/>
        <v>0</v>
      </c>
      <c r="U38" s="1937">
        <f>+IF(R38&gt;0,S38/R38,0)</f>
        <v>0</v>
      </c>
      <c r="V38" s="1931">
        <v>45314</v>
      </c>
      <c r="W38" s="1931">
        <v>45656</v>
      </c>
      <c r="X38" s="857" t="s">
        <v>3483</v>
      </c>
      <c r="Y38" s="578" t="s">
        <v>3426</v>
      </c>
    </row>
    <row r="39" spans="1:25">
      <c r="A39" s="3197">
        <v>4151</v>
      </c>
      <c r="B39" s="3197"/>
      <c r="C39" s="3197" t="s">
        <v>123</v>
      </c>
      <c r="D39" s="3198" t="s">
        <v>3489</v>
      </c>
      <c r="E39" s="1932" t="s">
        <v>3490</v>
      </c>
      <c r="F39" s="1950"/>
      <c r="G39" s="1932"/>
      <c r="H39" s="1950"/>
      <c r="I39" s="1932"/>
      <c r="J39" s="1932"/>
      <c r="K39" s="1950">
        <f>K40</f>
        <v>1.27</v>
      </c>
      <c r="L39" s="1955">
        <f>L40</f>
        <v>1</v>
      </c>
      <c r="M39" s="1423">
        <v>0</v>
      </c>
      <c r="N39" s="1429">
        <v>0</v>
      </c>
      <c r="O39" s="3196">
        <f>IF(Q39&gt;0, N40,"na")</f>
        <v>0</v>
      </c>
      <c r="P39" s="1436">
        <f>P40</f>
        <v>200339223</v>
      </c>
      <c r="Q39" s="1436">
        <f>Q40</f>
        <v>200339223</v>
      </c>
      <c r="R39" s="1436">
        <f>R40</f>
        <v>0</v>
      </c>
      <c r="S39" s="1436">
        <f>S40</f>
        <v>0</v>
      </c>
      <c r="T39" s="1937">
        <f t="shared" si="2"/>
        <v>0</v>
      </c>
      <c r="U39" s="1937">
        <f t="shared" si="2"/>
        <v>0</v>
      </c>
      <c r="V39" s="1938"/>
      <c r="W39" s="1938"/>
      <c r="X39" s="1414"/>
      <c r="Y39" s="1939"/>
    </row>
    <row r="40" spans="1:25" ht="105.6">
      <c r="A40" s="3197"/>
      <c r="B40" s="3197"/>
      <c r="C40" s="3197"/>
      <c r="D40" s="3198"/>
      <c r="E40" s="1920" t="s">
        <v>3491</v>
      </c>
      <c r="F40" s="1949"/>
      <c r="G40" s="1920" t="s">
        <v>3492</v>
      </c>
      <c r="H40" s="1949"/>
      <c r="I40" s="1920" t="s">
        <v>3493</v>
      </c>
      <c r="J40" s="1920" t="s">
        <v>3482</v>
      </c>
      <c r="K40" s="1949">
        <v>1.27</v>
      </c>
      <c r="L40" s="1930">
        <v>1</v>
      </c>
      <c r="M40" s="880">
        <v>0</v>
      </c>
      <c r="N40" s="1060">
        <v>0</v>
      </c>
      <c r="O40" s="3196"/>
      <c r="P40" s="1109">
        <v>200339223</v>
      </c>
      <c r="Q40" s="1109">
        <v>200339223</v>
      </c>
      <c r="R40" s="1109">
        <v>0</v>
      </c>
      <c r="S40" s="1109">
        <v>0</v>
      </c>
      <c r="T40" s="1423"/>
      <c r="U40" s="1423"/>
      <c r="V40" s="1931">
        <v>45314</v>
      </c>
      <c r="W40" s="1931">
        <v>45656</v>
      </c>
      <c r="X40" s="857" t="s">
        <v>3483</v>
      </c>
      <c r="Y40" s="578" t="s">
        <v>3426</v>
      </c>
    </row>
    <row r="41" spans="1:25">
      <c r="A41" s="3197">
        <v>4151</v>
      </c>
      <c r="B41" s="3197"/>
      <c r="C41" s="3197" t="s">
        <v>123</v>
      </c>
      <c r="D41" s="3198" t="s">
        <v>3494</v>
      </c>
      <c r="E41" s="1932" t="s">
        <v>3495</v>
      </c>
      <c r="F41" s="1950"/>
      <c r="G41" s="1932"/>
      <c r="H41" s="1950"/>
      <c r="I41" s="1932"/>
      <c r="J41" s="1932"/>
      <c r="K41" s="1950">
        <f>K42+K43</f>
        <v>0.47</v>
      </c>
      <c r="L41" s="1934">
        <f>L42+L43</f>
        <v>1</v>
      </c>
      <c r="M41" s="1423">
        <v>0</v>
      </c>
      <c r="N41" s="1429">
        <v>0</v>
      </c>
      <c r="O41" s="3196">
        <f>IF(Q41&gt;0, N41,"na")</f>
        <v>0</v>
      </c>
      <c r="P41" s="1952">
        <f>P42+P43</f>
        <v>212621251</v>
      </c>
      <c r="Q41" s="1936">
        <f>Q42+Q43</f>
        <v>212621251</v>
      </c>
      <c r="R41" s="1436">
        <f>R42+R43</f>
        <v>0</v>
      </c>
      <c r="S41" s="1436">
        <f>S42+S43</f>
        <v>0</v>
      </c>
      <c r="T41" s="1937">
        <f>+IF(Q41&gt;0,R41/Q41,0)</f>
        <v>0</v>
      </c>
      <c r="U41" s="1937">
        <f>+IF(R41&gt;0,S41/R41,0)</f>
        <v>0</v>
      </c>
      <c r="V41" s="1938"/>
      <c r="W41" s="1938"/>
      <c r="X41" s="1414"/>
      <c r="Y41" s="1939"/>
    </row>
    <row r="42" spans="1:25" ht="39.6">
      <c r="A42" s="3197"/>
      <c r="B42" s="3197"/>
      <c r="C42" s="3197"/>
      <c r="D42" s="3198"/>
      <c r="E42" s="1920" t="s">
        <v>3496</v>
      </c>
      <c r="F42" s="1949"/>
      <c r="G42" s="3198" t="s">
        <v>3497</v>
      </c>
      <c r="H42" s="1949"/>
      <c r="I42" s="1920" t="s">
        <v>3498</v>
      </c>
      <c r="J42" s="1920" t="s">
        <v>3499</v>
      </c>
      <c r="K42" s="1959">
        <v>0.25</v>
      </c>
      <c r="L42" s="1940">
        <v>0.62</v>
      </c>
      <c r="M42" s="880">
        <v>0</v>
      </c>
      <c r="N42" s="1060">
        <v>0</v>
      </c>
      <c r="O42" s="3196"/>
      <c r="P42" s="1109">
        <v>81763467</v>
      </c>
      <c r="Q42" s="1109">
        <v>81763467</v>
      </c>
      <c r="R42" s="1109">
        <v>0</v>
      </c>
      <c r="S42" s="1109">
        <v>0</v>
      </c>
      <c r="T42" s="1937">
        <f t="shared" ref="T42:U52" si="3">+IF(Q42&gt;0,R42/Q42,0)</f>
        <v>0</v>
      </c>
      <c r="U42" s="1937">
        <f t="shared" si="3"/>
        <v>0</v>
      </c>
      <c r="V42" s="1931">
        <v>45314</v>
      </c>
      <c r="W42" s="1931">
        <v>45656</v>
      </c>
      <c r="X42" s="3066" t="s">
        <v>3500</v>
      </c>
      <c r="Y42" s="3201" t="s">
        <v>3426</v>
      </c>
    </row>
    <row r="43" spans="1:25" ht="39.6">
      <c r="A43" s="3197"/>
      <c r="B43" s="3197"/>
      <c r="C43" s="3197"/>
      <c r="D43" s="3198"/>
      <c r="E43" s="1920" t="s">
        <v>3501</v>
      </c>
      <c r="F43" s="1949"/>
      <c r="G43" s="3198"/>
      <c r="H43" s="1949"/>
      <c r="I43" s="1920" t="s">
        <v>3502</v>
      </c>
      <c r="J43" s="1920" t="s">
        <v>3503</v>
      </c>
      <c r="K43" s="1949">
        <v>0.22</v>
      </c>
      <c r="L43" s="1940">
        <v>0.38</v>
      </c>
      <c r="M43" s="880">
        <v>0</v>
      </c>
      <c r="N43" s="1060">
        <v>0</v>
      </c>
      <c r="O43" s="3196"/>
      <c r="P43" s="1109">
        <v>130857784</v>
      </c>
      <c r="Q43" s="1109">
        <v>130857784</v>
      </c>
      <c r="R43" s="880">
        <v>0</v>
      </c>
      <c r="S43" s="880">
        <v>0</v>
      </c>
      <c r="T43" s="1937">
        <f t="shared" si="3"/>
        <v>0</v>
      </c>
      <c r="U43" s="1937">
        <f>+IF(R43&gt;0,S43/R43,0)</f>
        <v>0</v>
      </c>
      <c r="V43" s="1931">
        <v>45314</v>
      </c>
      <c r="W43" s="1931">
        <v>45656</v>
      </c>
      <c r="X43" s="3066"/>
      <c r="Y43" s="3201"/>
    </row>
    <row r="44" spans="1:25">
      <c r="A44" s="3197">
        <v>4151</v>
      </c>
      <c r="B44" s="3197"/>
      <c r="C44" s="3197" t="s">
        <v>123</v>
      </c>
      <c r="D44" s="3198" t="s">
        <v>3504</v>
      </c>
      <c r="E44" s="1932" t="s">
        <v>3505</v>
      </c>
      <c r="F44" s="1950"/>
      <c r="G44" s="1932"/>
      <c r="H44" s="1950"/>
      <c r="I44" s="1932"/>
      <c r="J44" s="1932"/>
      <c r="K44" s="1950">
        <f>K45</f>
        <v>0.22</v>
      </c>
      <c r="L44" s="1934">
        <f>L45</f>
        <v>1</v>
      </c>
      <c r="M44" s="1423">
        <v>0</v>
      </c>
      <c r="N44" s="1429">
        <v>0</v>
      </c>
      <c r="O44" s="3196">
        <f>IF(Q44&gt;0, N45,"na")</f>
        <v>0</v>
      </c>
      <c r="P44" s="1436">
        <f>P45</f>
        <v>458088506</v>
      </c>
      <c r="Q44" s="1436">
        <f>Q45</f>
        <v>458088506</v>
      </c>
      <c r="R44" s="1436">
        <f>R45</f>
        <v>0</v>
      </c>
      <c r="S44" s="1436">
        <f>S45</f>
        <v>0</v>
      </c>
      <c r="T44" s="1937">
        <f t="shared" si="3"/>
        <v>0</v>
      </c>
      <c r="U44" s="1937">
        <f t="shared" si="3"/>
        <v>0</v>
      </c>
      <c r="V44" s="1938"/>
      <c r="W44" s="1938"/>
      <c r="X44" s="1414"/>
      <c r="Y44" s="1939"/>
    </row>
    <row r="45" spans="1:25" ht="66">
      <c r="A45" s="3197"/>
      <c r="B45" s="3197"/>
      <c r="C45" s="3197"/>
      <c r="D45" s="3198"/>
      <c r="E45" s="1920" t="s">
        <v>3506</v>
      </c>
      <c r="F45" s="1949"/>
      <c r="G45" s="1920" t="s">
        <v>3507</v>
      </c>
      <c r="H45" s="1949"/>
      <c r="I45" s="1920" t="s">
        <v>3502</v>
      </c>
      <c r="J45" s="1920" t="s">
        <v>3503</v>
      </c>
      <c r="K45" s="1949">
        <v>0.22</v>
      </c>
      <c r="L45" s="1940">
        <v>1</v>
      </c>
      <c r="M45" s="880">
        <v>0</v>
      </c>
      <c r="N45" s="1060">
        <v>0</v>
      </c>
      <c r="O45" s="3196"/>
      <c r="P45" s="1109">
        <v>458088506</v>
      </c>
      <c r="Q45" s="1109">
        <v>458088506</v>
      </c>
      <c r="R45" s="1109">
        <v>0</v>
      </c>
      <c r="S45" s="1109">
        <v>0</v>
      </c>
      <c r="T45" s="1937">
        <f t="shared" si="3"/>
        <v>0</v>
      </c>
      <c r="U45" s="1937">
        <f>+IF(R45&gt;0,S45/R45,0)</f>
        <v>0</v>
      </c>
      <c r="V45" s="1931">
        <v>45314</v>
      </c>
      <c r="W45" s="1931">
        <v>45656</v>
      </c>
      <c r="X45" s="857" t="s">
        <v>3508</v>
      </c>
      <c r="Y45" s="578" t="s">
        <v>3426</v>
      </c>
    </row>
    <row r="46" spans="1:25">
      <c r="A46" s="3197">
        <v>4151</v>
      </c>
      <c r="B46" s="3197"/>
      <c r="C46" s="3197" t="s">
        <v>123</v>
      </c>
      <c r="D46" s="3198" t="s">
        <v>3509</v>
      </c>
      <c r="E46" s="1932" t="s">
        <v>3510</v>
      </c>
      <c r="F46" s="1950"/>
      <c r="G46" s="1932"/>
      <c r="H46" s="1950"/>
      <c r="I46" s="1932"/>
      <c r="J46" s="1932"/>
      <c r="K46" s="1950">
        <f>K47+K48</f>
        <v>1.268</v>
      </c>
      <c r="L46" s="1955">
        <f>+L47+L48</f>
        <v>1</v>
      </c>
      <c r="M46" s="1423">
        <v>0</v>
      </c>
      <c r="N46" s="1429">
        <v>0</v>
      </c>
      <c r="O46" s="3196">
        <f>IF(Q46&gt;0, N46,"na")</f>
        <v>0</v>
      </c>
      <c r="P46" s="1436">
        <f>P47+P48</f>
        <v>372901507</v>
      </c>
      <c r="Q46" s="1436">
        <f>Q47+Q48</f>
        <v>372901507</v>
      </c>
      <c r="R46" s="1436">
        <f>R47+R48</f>
        <v>0</v>
      </c>
      <c r="S46" s="1436">
        <f>S47+S48</f>
        <v>0</v>
      </c>
      <c r="T46" s="1937">
        <f t="shared" si="3"/>
        <v>0</v>
      </c>
      <c r="U46" s="1937">
        <f t="shared" si="3"/>
        <v>0</v>
      </c>
      <c r="V46" s="1938"/>
      <c r="W46" s="1938"/>
      <c r="X46" s="1414"/>
      <c r="Y46" s="1939"/>
    </row>
    <row r="47" spans="1:25" ht="26.4">
      <c r="A47" s="3197"/>
      <c r="B47" s="3197"/>
      <c r="C47" s="3197"/>
      <c r="D47" s="3198"/>
      <c r="E47" s="1920" t="s">
        <v>3511</v>
      </c>
      <c r="F47" s="1949"/>
      <c r="G47" s="3198" t="s">
        <v>3512</v>
      </c>
      <c r="H47" s="1949"/>
      <c r="I47" s="1920" t="s">
        <v>3513</v>
      </c>
      <c r="J47" s="1920" t="s">
        <v>3482</v>
      </c>
      <c r="K47" s="1949">
        <v>0.60799999999999998</v>
      </c>
      <c r="L47" s="1930">
        <v>0.48</v>
      </c>
      <c r="M47" s="880">
        <v>0</v>
      </c>
      <c r="N47" s="1060">
        <v>0</v>
      </c>
      <c r="O47" s="3196"/>
      <c r="P47" s="1109">
        <v>179097300</v>
      </c>
      <c r="Q47" s="1109">
        <v>179097300</v>
      </c>
      <c r="R47" s="1109">
        <v>0</v>
      </c>
      <c r="S47" s="1109">
        <v>0</v>
      </c>
      <c r="T47" s="1937">
        <f t="shared" si="3"/>
        <v>0</v>
      </c>
      <c r="U47" s="1937">
        <f>+IF(R47&gt;0,S47/R47,0)</f>
        <v>0</v>
      </c>
      <c r="V47" s="1931">
        <v>45314</v>
      </c>
      <c r="W47" s="1931">
        <v>45656</v>
      </c>
      <c r="X47" s="3066" t="s">
        <v>3508</v>
      </c>
      <c r="Y47" s="3201" t="s">
        <v>3426</v>
      </c>
    </row>
    <row r="48" spans="1:25" ht="26.4">
      <c r="A48" s="3197"/>
      <c r="B48" s="1978"/>
      <c r="C48" s="3197"/>
      <c r="D48" s="3198"/>
      <c r="E48" s="1920" t="s">
        <v>3514</v>
      </c>
      <c r="F48" s="1949"/>
      <c r="G48" s="3198"/>
      <c r="H48" s="1949"/>
      <c r="I48" s="1920" t="s">
        <v>3515</v>
      </c>
      <c r="J48" s="1920" t="s">
        <v>3516</v>
      </c>
      <c r="K48" s="1949">
        <v>0.66</v>
      </c>
      <c r="L48" s="1930">
        <v>0.52</v>
      </c>
      <c r="M48" s="880">
        <v>0</v>
      </c>
      <c r="N48" s="1060">
        <v>0</v>
      </c>
      <c r="O48" s="3196"/>
      <c r="P48" s="1109">
        <v>193804207</v>
      </c>
      <c r="Q48" s="1109">
        <v>193804207</v>
      </c>
      <c r="R48" s="1109">
        <v>0</v>
      </c>
      <c r="S48" s="1109">
        <v>0</v>
      </c>
      <c r="T48" s="1937">
        <f t="shared" si="3"/>
        <v>0</v>
      </c>
      <c r="U48" s="1937">
        <f t="shared" si="3"/>
        <v>0</v>
      </c>
      <c r="V48" s="1931">
        <v>45314</v>
      </c>
      <c r="W48" s="1931">
        <v>45656</v>
      </c>
      <c r="X48" s="3066"/>
      <c r="Y48" s="3201"/>
    </row>
    <row r="49" spans="1:25">
      <c r="A49" s="3197">
        <v>4151</v>
      </c>
      <c r="B49" s="1980"/>
      <c r="C49" s="3197" t="s">
        <v>123</v>
      </c>
      <c r="D49" s="3198" t="s">
        <v>3517</v>
      </c>
      <c r="E49" s="1932" t="s">
        <v>3518</v>
      </c>
      <c r="F49" s="1950"/>
      <c r="G49" s="1932"/>
      <c r="H49" s="1960"/>
      <c r="I49" s="1932"/>
      <c r="J49" s="1932"/>
      <c r="K49" s="1960">
        <f>+K50</f>
        <v>0.29699999999999999</v>
      </c>
      <c r="L49" s="1955">
        <f>+L50</f>
        <v>1</v>
      </c>
      <c r="M49" s="1423">
        <v>0</v>
      </c>
      <c r="N49" s="1429">
        <v>0</v>
      </c>
      <c r="O49" s="3196">
        <f>IF(Q49&gt;0, N50,"na")</f>
        <v>0</v>
      </c>
      <c r="P49" s="1436">
        <f>P50</f>
        <v>297293345</v>
      </c>
      <c r="Q49" s="1436">
        <f>Q50</f>
        <v>297293345</v>
      </c>
      <c r="R49" s="1436">
        <f>R50</f>
        <v>0</v>
      </c>
      <c r="S49" s="1436">
        <f>S50</f>
        <v>0</v>
      </c>
      <c r="T49" s="1937">
        <f t="shared" si="3"/>
        <v>0</v>
      </c>
      <c r="U49" s="1937">
        <f>+IF(R49&gt;0,S49/R49,0)</f>
        <v>0</v>
      </c>
      <c r="V49" s="1961"/>
      <c r="W49" s="1938"/>
      <c r="X49" s="1414"/>
      <c r="Y49" s="1939"/>
    </row>
    <row r="50" spans="1:25" ht="79.2">
      <c r="A50" s="3197"/>
      <c r="B50" s="1978"/>
      <c r="C50" s="3197"/>
      <c r="D50" s="3198"/>
      <c r="E50" s="1920" t="s">
        <v>3519</v>
      </c>
      <c r="F50" s="1949"/>
      <c r="G50" s="1920" t="s">
        <v>3520</v>
      </c>
      <c r="H50" s="1959"/>
      <c r="I50" s="1920" t="s">
        <v>3521</v>
      </c>
      <c r="J50" s="1920" t="s">
        <v>3522</v>
      </c>
      <c r="K50" s="1920">
        <v>0.29699999999999999</v>
      </c>
      <c r="L50" s="1930">
        <v>1</v>
      </c>
      <c r="M50" s="880">
        <v>0</v>
      </c>
      <c r="N50" s="1060">
        <v>0</v>
      </c>
      <c r="O50" s="3196"/>
      <c r="P50" s="1109">
        <v>297293345</v>
      </c>
      <c r="Q50" s="1109">
        <v>297293345</v>
      </c>
      <c r="R50" s="1109">
        <v>0</v>
      </c>
      <c r="S50" s="1109">
        <v>0</v>
      </c>
      <c r="T50" s="1937">
        <f t="shared" si="3"/>
        <v>0</v>
      </c>
      <c r="U50" s="1937">
        <f t="shared" si="3"/>
        <v>0</v>
      </c>
      <c r="V50" s="1931">
        <v>45314</v>
      </c>
      <c r="W50" s="1931">
        <v>45656</v>
      </c>
      <c r="X50" s="857" t="s">
        <v>3508</v>
      </c>
      <c r="Y50" s="578" t="s">
        <v>3426</v>
      </c>
    </row>
    <row r="51" spans="1:25">
      <c r="A51" s="3197">
        <v>4151</v>
      </c>
      <c r="B51" s="3197"/>
      <c r="C51" s="3197" t="s">
        <v>123</v>
      </c>
      <c r="D51" s="3198" t="s">
        <v>3523</v>
      </c>
      <c r="E51" s="1932" t="s">
        <v>3524</v>
      </c>
      <c r="F51" s="1950"/>
      <c r="G51" s="1932"/>
      <c r="H51" s="1950"/>
      <c r="I51" s="1932"/>
      <c r="J51" s="1932"/>
      <c r="K51" s="1950">
        <f>+K52</f>
        <v>2.2000000000000002</v>
      </c>
      <c r="L51" s="1934">
        <f>+L52</f>
        <v>1</v>
      </c>
      <c r="M51" s="1423">
        <v>0</v>
      </c>
      <c r="N51" s="1429">
        <v>0</v>
      </c>
      <c r="O51" s="3196">
        <f>IF(Q51&gt;0, N52,"na")</f>
        <v>0</v>
      </c>
      <c r="P51" s="1436">
        <f>P52</f>
        <v>358641741</v>
      </c>
      <c r="Q51" s="1436">
        <f>Q52</f>
        <v>358641741</v>
      </c>
      <c r="R51" s="1436">
        <f>R52</f>
        <v>0</v>
      </c>
      <c r="S51" s="1436">
        <f>S52</f>
        <v>0</v>
      </c>
      <c r="T51" s="1937">
        <f t="shared" si="3"/>
        <v>0</v>
      </c>
      <c r="U51" s="1937">
        <f>+IF(R51&gt;0,S51/R51,0)</f>
        <v>0</v>
      </c>
      <c r="V51" s="1938"/>
      <c r="W51" s="1938"/>
      <c r="X51" s="1414"/>
      <c r="Y51" s="1939"/>
    </row>
    <row r="52" spans="1:25" ht="79.2">
      <c r="A52" s="3197"/>
      <c r="B52" s="3197"/>
      <c r="C52" s="3197"/>
      <c r="D52" s="3198"/>
      <c r="E52" s="1920" t="s">
        <v>3525</v>
      </c>
      <c r="F52" s="1949"/>
      <c r="G52" s="1920" t="s">
        <v>3526</v>
      </c>
      <c r="H52" s="1958"/>
      <c r="I52" s="1920" t="s">
        <v>3527</v>
      </c>
      <c r="J52" s="1920" t="s">
        <v>3499</v>
      </c>
      <c r="K52" s="1949">
        <v>2.2000000000000002</v>
      </c>
      <c r="L52" s="1940">
        <v>1</v>
      </c>
      <c r="M52" s="880">
        <v>0</v>
      </c>
      <c r="N52" s="1060">
        <v>0</v>
      </c>
      <c r="O52" s="3196"/>
      <c r="P52" s="1109">
        <v>358641741</v>
      </c>
      <c r="Q52" s="1109">
        <v>358641741</v>
      </c>
      <c r="R52" s="1109">
        <v>0</v>
      </c>
      <c r="S52" s="1109">
        <v>0</v>
      </c>
      <c r="T52" s="1937">
        <f t="shared" si="3"/>
        <v>0</v>
      </c>
      <c r="U52" s="1937">
        <f t="shared" si="3"/>
        <v>0</v>
      </c>
      <c r="V52" s="1931">
        <v>45314</v>
      </c>
      <c r="W52" s="1931">
        <v>45656</v>
      </c>
      <c r="X52" s="857" t="s">
        <v>3508</v>
      </c>
      <c r="Y52" s="578" t="s">
        <v>3426</v>
      </c>
    </row>
    <row r="53" spans="1:25">
      <c r="A53" s="3197">
        <v>4151</v>
      </c>
      <c r="B53" s="3197"/>
      <c r="C53" s="3197" t="s">
        <v>123</v>
      </c>
      <c r="D53" s="3198" t="s">
        <v>3528</v>
      </c>
      <c r="E53" s="1932" t="s">
        <v>3529</v>
      </c>
      <c r="F53" s="1950"/>
      <c r="G53" s="1932"/>
      <c r="H53" s="1950"/>
      <c r="I53" s="1932"/>
      <c r="J53" s="1932"/>
      <c r="K53" s="1950">
        <f>+K54</f>
        <v>1</v>
      </c>
      <c r="L53" s="1934">
        <f>+L54</f>
        <v>1</v>
      </c>
      <c r="M53" s="1423">
        <v>0</v>
      </c>
      <c r="N53" s="1429">
        <v>0</v>
      </c>
      <c r="O53" s="3196">
        <f>IF(Q53&gt;0, N54,"na")</f>
        <v>0</v>
      </c>
      <c r="P53" s="1436">
        <f>P54</f>
        <v>2500000000</v>
      </c>
      <c r="Q53" s="1436">
        <f>Q54</f>
        <v>2500000000</v>
      </c>
      <c r="R53" s="1436">
        <f>R54</f>
        <v>0</v>
      </c>
      <c r="S53" s="1436">
        <f>S54</f>
        <v>0</v>
      </c>
      <c r="T53" s="1423"/>
      <c r="U53" s="1423"/>
      <c r="V53" s="1938"/>
      <c r="W53" s="1938"/>
      <c r="X53" s="1414"/>
      <c r="Y53" s="1939"/>
    </row>
    <row r="54" spans="1:25" ht="92.4">
      <c r="A54" s="3197"/>
      <c r="B54" s="3197"/>
      <c r="C54" s="3197"/>
      <c r="D54" s="3198"/>
      <c r="E54" s="1920" t="s">
        <v>3530</v>
      </c>
      <c r="F54" s="1949"/>
      <c r="G54" s="1920" t="s">
        <v>3531</v>
      </c>
      <c r="H54" s="1949"/>
      <c r="I54" s="1920" t="s">
        <v>3532</v>
      </c>
      <c r="J54" s="1920" t="s">
        <v>121</v>
      </c>
      <c r="K54" s="1949">
        <v>1</v>
      </c>
      <c r="L54" s="1940">
        <v>1</v>
      </c>
      <c r="M54" s="880">
        <v>0</v>
      </c>
      <c r="N54" s="1060">
        <v>0</v>
      </c>
      <c r="O54" s="3196"/>
      <c r="P54" s="1109">
        <v>2500000000</v>
      </c>
      <c r="Q54" s="1109">
        <v>2500000000</v>
      </c>
      <c r="R54" s="1109">
        <v>0</v>
      </c>
      <c r="S54" s="1109">
        <v>0</v>
      </c>
      <c r="T54" s="1423"/>
      <c r="U54" s="1423"/>
      <c r="V54" s="1931">
        <v>45314</v>
      </c>
      <c r="W54" s="1931">
        <v>45656</v>
      </c>
      <c r="X54" s="857" t="s">
        <v>3533</v>
      </c>
      <c r="Y54" s="578" t="s">
        <v>3426</v>
      </c>
    </row>
    <row r="55" spans="1:25">
      <c r="A55" s="1977"/>
      <c r="B55" s="1977">
        <v>53040040004</v>
      </c>
      <c r="C55" s="1977" t="s">
        <v>117</v>
      </c>
      <c r="D55" s="1928" t="s">
        <v>3534</v>
      </c>
      <c r="E55" s="1920" t="s">
        <v>3454</v>
      </c>
      <c r="F55" s="1949"/>
      <c r="G55" s="1920"/>
      <c r="H55" s="1949"/>
      <c r="I55" s="1920"/>
      <c r="J55" s="1920"/>
      <c r="K55" s="1949"/>
      <c r="L55" s="1930"/>
      <c r="M55" s="880"/>
      <c r="N55" s="1060"/>
      <c r="O55" s="2774"/>
      <c r="P55" s="880"/>
      <c r="Q55" s="1109"/>
      <c r="R55" s="880"/>
      <c r="S55" s="880"/>
      <c r="T55" s="1937"/>
      <c r="U55" s="1937"/>
      <c r="V55" s="1946"/>
      <c r="W55" s="1946"/>
      <c r="X55" s="857"/>
      <c r="Y55" s="1947"/>
    </row>
    <row r="56" spans="1:25">
      <c r="A56" s="3202">
        <v>4151</v>
      </c>
      <c r="B56" s="3197"/>
      <c r="C56" s="3202" t="s">
        <v>123</v>
      </c>
      <c r="D56" s="3198" t="s">
        <v>3535</v>
      </c>
      <c r="E56" s="1932" t="s">
        <v>3536</v>
      </c>
      <c r="F56" s="1950"/>
      <c r="G56" s="1932"/>
      <c r="H56" s="1950"/>
      <c r="I56" s="1932"/>
      <c r="J56" s="1932"/>
      <c r="K56" s="1950">
        <f>+K57</f>
        <v>1.5</v>
      </c>
      <c r="L56" s="1955">
        <f>+L57</f>
        <v>1</v>
      </c>
      <c r="M56" s="1423">
        <v>0</v>
      </c>
      <c r="N56" s="1429">
        <v>0</v>
      </c>
      <c r="O56" s="3196">
        <f>IF(Q56&gt;0, N57,"na")</f>
        <v>0</v>
      </c>
      <c r="P56" s="1952">
        <f>P57</f>
        <v>292000000</v>
      </c>
      <c r="Q56" s="1436">
        <f>Q57</f>
        <v>292000000</v>
      </c>
      <c r="R56" s="1436">
        <v>0</v>
      </c>
      <c r="S56" s="1436">
        <v>0</v>
      </c>
      <c r="T56" s="1937">
        <f>+IF(Q56&gt;0,R56/Q56,0)</f>
        <v>0</v>
      </c>
      <c r="U56" s="1937">
        <f t="shared" ref="U56" si="4">+IF(R56&gt;0,S56/R56,0)</f>
        <v>0</v>
      </c>
      <c r="V56" s="1956"/>
      <c r="W56" s="1956"/>
      <c r="X56" s="1414"/>
      <c r="Y56" s="1953"/>
    </row>
    <row r="57" spans="1:25" ht="52.8">
      <c r="A57" s="3202"/>
      <c r="B57" s="3197"/>
      <c r="C57" s="3202"/>
      <c r="D57" s="3198"/>
      <c r="E57" s="1920" t="s">
        <v>3537</v>
      </c>
      <c r="F57" s="1949"/>
      <c r="G57" s="1920" t="s">
        <v>3538</v>
      </c>
      <c r="H57" s="1949"/>
      <c r="I57" s="1920" t="s">
        <v>3539</v>
      </c>
      <c r="J57" s="1920" t="s">
        <v>3540</v>
      </c>
      <c r="K57" s="1949">
        <v>1.5</v>
      </c>
      <c r="L57" s="1930">
        <v>1</v>
      </c>
      <c r="M57" s="880">
        <v>0</v>
      </c>
      <c r="N57" s="1060">
        <v>0</v>
      </c>
      <c r="O57" s="3196"/>
      <c r="P57" s="1954">
        <v>292000000</v>
      </c>
      <c r="Q57" s="1954">
        <v>292000000</v>
      </c>
      <c r="R57" s="1109">
        <v>0</v>
      </c>
      <c r="S57" s="1109">
        <v>0</v>
      </c>
      <c r="T57" s="1423"/>
      <c r="U57" s="1423"/>
      <c r="V57" s="1931">
        <v>45314</v>
      </c>
      <c r="W57" s="1931">
        <v>45656</v>
      </c>
      <c r="X57" s="857" t="s">
        <v>3508</v>
      </c>
      <c r="Y57" s="578" t="s">
        <v>3426</v>
      </c>
    </row>
    <row r="58" spans="1:25">
      <c r="A58" s="3197">
        <v>4151</v>
      </c>
      <c r="B58" s="3197"/>
      <c r="C58" s="3197" t="s">
        <v>123</v>
      </c>
      <c r="D58" s="3198" t="s">
        <v>3541</v>
      </c>
      <c r="E58" s="1932" t="s">
        <v>3542</v>
      </c>
      <c r="F58" s="1950"/>
      <c r="G58" s="1932"/>
      <c r="H58" s="1950"/>
      <c r="I58" s="1932"/>
      <c r="J58" s="1932"/>
      <c r="K58" s="1950">
        <f>K59</f>
        <v>0.184</v>
      </c>
      <c r="L58" s="1955">
        <f>L59</f>
        <v>1</v>
      </c>
      <c r="M58" s="1423">
        <v>0</v>
      </c>
      <c r="N58" s="1429">
        <v>0</v>
      </c>
      <c r="O58" s="3196">
        <f>IF(Q58&gt;0, N59,"na")</f>
        <v>0</v>
      </c>
      <c r="P58" s="1952">
        <f>P59</f>
        <v>267956822</v>
      </c>
      <c r="Q58" s="1436">
        <f>Q59</f>
        <v>267956822</v>
      </c>
      <c r="R58" s="1436">
        <v>0</v>
      </c>
      <c r="S58" s="1436">
        <v>0</v>
      </c>
      <c r="T58" s="1423"/>
      <c r="U58" s="1423"/>
      <c r="V58" s="1938"/>
      <c r="W58" s="1938"/>
      <c r="X58" s="1414"/>
      <c r="Y58" s="1939"/>
    </row>
    <row r="59" spans="1:25" ht="52.8">
      <c r="A59" s="3197"/>
      <c r="B59" s="3197"/>
      <c r="C59" s="3197"/>
      <c r="D59" s="3198"/>
      <c r="E59" s="1920" t="s">
        <v>3543</v>
      </c>
      <c r="F59" s="1949"/>
      <c r="G59" s="1920" t="s">
        <v>3544</v>
      </c>
      <c r="H59" s="1949"/>
      <c r="I59" s="1920" t="s">
        <v>3545</v>
      </c>
      <c r="J59" s="1920" t="s">
        <v>3546</v>
      </c>
      <c r="K59" s="1949">
        <v>0.184</v>
      </c>
      <c r="L59" s="1930">
        <v>1</v>
      </c>
      <c r="M59" s="880">
        <v>0</v>
      </c>
      <c r="N59" s="1060">
        <v>0</v>
      </c>
      <c r="O59" s="3196"/>
      <c r="P59" s="1962">
        <v>267956822</v>
      </c>
      <c r="Q59" s="1962">
        <v>267956822</v>
      </c>
      <c r="R59" s="1109">
        <v>0</v>
      </c>
      <c r="S59" s="1109">
        <v>0</v>
      </c>
      <c r="T59" s="1937">
        <f>+IF(Q59&gt;0,R59/Q59,0)</f>
        <v>0</v>
      </c>
      <c r="U59" s="1937">
        <f>+IF(R59&gt;0,S59/R59,0)</f>
        <v>0</v>
      </c>
      <c r="V59" s="1931">
        <v>45314</v>
      </c>
      <c r="W59" s="1931">
        <v>45656</v>
      </c>
      <c r="X59" s="857" t="s">
        <v>3508</v>
      </c>
      <c r="Y59" s="578" t="s">
        <v>3426</v>
      </c>
    </row>
    <row r="60" spans="1:25">
      <c r="A60" s="3197">
        <v>4151</v>
      </c>
      <c r="B60" s="3197"/>
      <c r="C60" s="3197" t="s">
        <v>123</v>
      </c>
      <c r="D60" s="3198" t="s">
        <v>3547</v>
      </c>
      <c r="E60" s="1932" t="s">
        <v>3548</v>
      </c>
      <c r="F60" s="1950"/>
      <c r="G60" s="1932"/>
      <c r="H60" s="1950"/>
      <c r="I60" s="1932"/>
      <c r="J60" s="1932"/>
      <c r="K60" s="1950">
        <f>K61</f>
        <v>1.3959999999999999</v>
      </c>
      <c r="L60" s="1955">
        <f>L61</f>
        <v>1</v>
      </c>
      <c r="M60" s="1423">
        <v>0</v>
      </c>
      <c r="N60" s="1429">
        <v>0</v>
      </c>
      <c r="O60" s="3196">
        <f>IF(Q60&gt;0, N61,"na")</f>
        <v>0</v>
      </c>
      <c r="P60" s="1952">
        <f>P61</f>
        <v>277908886</v>
      </c>
      <c r="Q60" s="1436">
        <f>Q61</f>
        <v>277908886</v>
      </c>
      <c r="R60" s="1436">
        <f>R61</f>
        <v>0</v>
      </c>
      <c r="S60" s="1436">
        <f>S61</f>
        <v>0</v>
      </c>
      <c r="T60" s="1937">
        <f>+IF(Q60&gt;0,R60/Q60,0)</f>
        <v>0</v>
      </c>
      <c r="U60" s="1937">
        <f t="shared" ref="U60:U63" si="5">+IF(R60&gt;0,S60/R60,0)</f>
        <v>0</v>
      </c>
      <c r="V60" s="1938"/>
      <c r="W60" s="1938"/>
      <c r="X60" s="1414"/>
      <c r="Y60" s="1939"/>
    </row>
    <row r="61" spans="1:25" ht="52.8">
      <c r="A61" s="3197"/>
      <c r="B61" s="3197"/>
      <c r="C61" s="3197"/>
      <c r="D61" s="3198"/>
      <c r="E61" s="1920" t="s">
        <v>3549</v>
      </c>
      <c r="F61" s="1949"/>
      <c r="G61" s="1920" t="s">
        <v>3550</v>
      </c>
      <c r="H61" s="1949"/>
      <c r="I61" s="1920" t="s">
        <v>3551</v>
      </c>
      <c r="J61" s="1920" t="s">
        <v>3546</v>
      </c>
      <c r="K61" s="1949">
        <v>1.3959999999999999</v>
      </c>
      <c r="L61" s="1930">
        <v>1</v>
      </c>
      <c r="M61" s="880">
        <v>0</v>
      </c>
      <c r="N61" s="1060">
        <v>0</v>
      </c>
      <c r="O61" s="3196"/>
      <c r="P61" s="1962">
        <v>277908886</v>
      </c>
      <c r="Q61" s="1962">
        <v>277908886</v>
      </c>
      <c r="R61" s="1963">
        <v>0</v>
      </c>
      <c r="S61" s="1109">
        <v>0</v>
      </c>
      <c r="T61" s="1937">
        <f t="shared" ref="T61:T63" si="6">+IF(Q61&gt;0,R61/Q61,0)</f>
        <v>0</v>
      </c>
      <c r="U61" s="1937">
        <f t="shared" si="5"/>
        <v>0</v>
      </c>
      <c r="V61" s="1931">
        <v>45314</v>
      </c>
      <c r="W61" s="1931">
        <v>45656</v>
      </c>
      <c r="X61" s="857" t="s">
        <v>3508</v>
      </c>
      <c r="Y61" s="578" t="s">
        <v>3426</v>
      </c>
    </row>
    <row r="62" spans="1:25">
      <c r="A62" s="3197">
        <v>4151</v>
      </c>
      <c r="B62" s="3197"/>
      <c r="C62" s="3197" t="s">
        <v>123</v>
      </c>
      <c r="D62" s="3198" t="s">
        <v>3552</v>
      </c>
      <c r="E62" s="1932" t="s">
        <v>3553</v>
      </c>
      <c r="F62" s="1950"/>
      <c r="G62" s="1932"/>
      <c r="H62" s="1950"/>
      <c r="I62" s="1932"/>
      <c r="J62" s="1932"/>
      <c r="K62" s="1950">
        <f>K63</f>
        <v>1.016</v>
      </c>
      <c r="L62" s="1955">
        <f>L63</f>
        <v>1</v>
      </c>
      <c r="M62" s="1423">
        <v>0</v>
      </c>
      <c r="N62" s="1429">
        <v>0</v>
      </c>
      <c r="O62" s="3196">
        <f>IF(Q62&gt;0, N63,"na")</f>
        <v>0</v>
      </c>
      <c r="P62" s="1952">
        <f>P63</f>
        <v>1178607825</v>
      </c>
      <c r="Q62" s="1436">
        <f>Q63</f>
        <v>1178607825</v>
      </c>
      <c r="R62" s="1436">
        <v>0</v>
      </c>
      <c r="S62" s="1436">
        <v>0</v>
      </c>
      <c r="T62" s="1937">
        <f t="shared" si="6"/>
        <v>0</v>
      </c>
      <c r="U62" s="1937">
        <f t="shared" si="5"/>
        <v>0</v>
      </c>
      <c r="V62" s="1938"/>
      <c r="W62" s="1938"/>
      <c r="X62" s="1414"/>
      <c r="Y62" s="1939"/>
    </row>
    <row r="63" spans="1:25" ht="52.8">
      <c r="A63" s="3197"/>
      <c r="B63" s="3197"/>
      <c r="C63" s="3197"/>
      <c r="D63" s="3198"/>
      <c r="E63" s="1920" t="s">
        <v>3554</v>
      </c>
      <c r="F63" s="1949"/>
      <c r="G63" s="1920" t="s">
        <v>3555</v>
      </c>
      <c r="H63" s="1949"/>
      <c r="I63" s="1920" t="s">
        <v>3556</v>
      </c>
      <c r="J63" s="1920" t="s">
        <v>3546</v>
      </c>
      <c r="K63" s="1949">
        <v>1.016</v>
      </c>
      <c r="L63" s="1930">
        <v>1</v>
      </c>
      <c r="M63" s="880">
        <v>0</v>
      </c>
      <c r="N63" s="1060">
        <v>0</v>
      </c>
      <c r="O63" s="3196"/>
      <c r="P63" s="1962">
        <v>1178607825</v>
      </c>
      <c r="Q63" s="1962">
        <v>1178607825</v>
      </c>
      <c r="R63" s="1109">
        <v>0</v>
      </c>
      <c r="S63" s="1109">
        <v>0</v>
      </c>
      <c r="T63" s="1937">
        <f t="shared" si="6"/>
        <v>0</v>
      </c>
      <c r="U63" s="1937">
        <f t="shared" si="5"/>
        <v>0</v>
      </c>
      <c r="V63" s="1931">
        <v>45314</v>
      </c>
      <c r="W63" s="1931">
        <v>45656</v>
      </c>
      <c r="X63" s="857" t="s">
        <v>3508</v>
      </c>
      <c r="Y63" s="578" t="s">
        <v>3426</v>
      </c>
    </row>
    <row r="64" spans="1:25">
      <c r="A64" s="3197">
        <v>4151</v>
      </c>
      <c r="B64" s="3197"/>
      <c r="C64" s="3197" t="s">
        <v>123</v>
      </c>
      <c r="D64" s="3198" t="s">
        <v>3557</v>
      </c>
      <c r="E64" s="1932" t="s">
        <v>3558</v>
      </c>
      <c r="F64" s="1950"/>
      <c r="G64" s="1932"/>
      <c r="H64" s="1950"/>
      <c r="I64" s="1932"/>
      <c r="J64" s="1932"/>
      <c r="K64" s="1950">
        <f>K65</f>
        <v>1.26</v>
      </c>
      <c r="L64" s="1955">
        <f>L65</f>
        <v>1</v>
      </c>
      <c r="M64" s="1423">
        <v>0</v>
      </c>
      <c r="N64" s="1429">
        <v>0</v>
      </c>
      <c r="O64" s="3196">
        <f>IF(Q64&gt;0, N65,"na")</f>
        <v>0</v>
      </c>
      <c r="P64" s="1952">
        <f>P65</f>
        <v>1684548577</v>
      </c>
      <c r="Q64" s="1436">
        <f>Q65</f>
        <v>1684548577</v>
      </c>
      <c r="R64" s="1436">
        <f>R65</f>
        <v>0</v>
      </c>
      <c r="S64" s="1436">
        <f>S65</f>
        <v>0</v>
      </c>
      <c r="T64" s="1423"/>
      <c r="U64" s="1423"/>
      <c r="V64" s="1938"/>
      <c r="W64" s="1938"/>
      <c r="X64" s="1414"/>
      <c r="Y64" s="1939"/>
    </row>
    <row r="65" spans="1:25" ht="52.8">
      <c r="A65" s="3197"/>
      <c r="B65" s="3197"/>
      <c r="C65" s="3197"/>
      <c r="D65" s="3198"/>
      <c r="E65" s="1920" t="s">
        <v>3559</v>
      </c>
      <c r="F65" s="1949"/>
      <c r="G65" s="1920" t="s">
        <v>3560</v>
      </c>
      <c r="H65" s="1949"/>
      <c r="I65" s="1920" t="s">
        <v>3561</v>
      </c>
      <c r="J65" s="1920" t="s">
        <v>3546</v>
      </c>
      <c r="K65" s="1949">
        <v>1.26</v>
      </c>
      <c r="L65" s="1930">
        <v>1</v>
      </c>
      <c r="M65" s="880">
        <v>0</v>
      </c>
      <c r="N65" s="1060">
        <v>0</v>
      </c>
      <c r="O65" s="3196"/>
      <c r="P65" s="1962">
        <v>1684548577</v>
      </c>
      <c r="Q65" s="1962">
        <v>1684548577</v>
      </c>
      <c r="R65" s="1109">
        <v>0</v>
      </c>
      <c r="S65" s="1109">
        <v>0</v>
      </c>
      <c r="T65" s="1423"/>
      <c r="U65" s="1423"/>
      <c r="V65" s="1931">
        <v>45314</v>
      </c>
      <c r="W65" s="1931">
        <v>45656</v>
      </c>
      <c r="X65" s="857" t="s">
        <v>3508</v>
      </c>
      <c r="Y65" s="578" t="s">
        <v>3426</v>
      </c>
    </row>
    <row r="66" spans="1:25">
      <c r="A66" s="3197">
        <v>4151</v>
      </c>
      <c r="B66" s="3197"/>
      <c r="C66" s="3197" t="s">
        <v>123</v>
      </c>
      <c r="D66" s="3198" t="s">
        <v>3562</v>
      </c>
      <c r="E66" s="1932" t="s">
        <v>3563</v>
      </c>
      <c r="F66" s="1950"/>
      <c r="G66" s="1932"/>
      <c r="H66" s="1950"/>
      <c r="I66" s="1932"/>
      <c r="J66" s="1932"/>
      <c r="K66" s="1950">
        <f>K67</f>
        <v>0.28149999999999997</v>
      </c>
      <c r="L66" s="1955">
        <f>L67</f>
        <v>1</v>
      </c>
      <c r="M66" s="1423">
        <v>0</v>
      </c>
      <c r="N66" s="1429">
        <v>0</v>
      </c>
      <c r="O66" s="3196">
        <f>IF(Q66&gt;0, N67,"na")</f>
        <v>0</v>
      </c>
      <c r="P66" s="1952">
        <f>P67</f>
        <v>360165765</v>
      </c>
      <c r="Q66" s="1436">
        <f>Q67</f>
        <v>360165765</v>
      </c>
      <c r="R66" s="1436">
        <f>R67</f>
        <v>0</v>
      </c>
      <c r="S66" s="1436">
        <f>S67</f>
        <v>0</v>
      </c>
      <c r="T66" s="1937">
        <f>+IF(Q66&gt;0,R66/Q66,0)</f>
        <v>0</v>
      </c>
      <c r="U66" s="1937">
        <f>+IF(R66&gt;0,S66/R66,0)</f>
        <v>0</v>
      </c>
      <c r="V66" s="1938"/>
      <c r="W66" s="1938"/>
      <c r="X66" s="1414"/>
      <c r="Y66" s="1939"/>
    </row>
    <row r="67" spans="1:25" ht="52.8">
      <c r="A67" s="3197"/>
      <c r="B67" s="3197"/>
      <c r="C67" s="3197"/>
      <c r="D67" s="3198"/>
      <c r="E67" s="1920" t="s">
        <v>3564</v>
      </c>
      <c r="F67" s="1949"/>
      <c r="G67" s="1920" t="s">
        <v>3565</v>
      </c>
      <c r="H67" s="1949"/>
      <c r="I67" s="1920" t="s">
        <v>3566</v>
      </c>
      <c r="J67" s="1920" t="s">
        <v>3546</v>
      </c>
      <c r="K67" s="1949">
        <v>0.28149999999999997</v>
      </c>
      <c r="L67" s="1930">
        <v>1</v>
      </c>
      <c r="M67" s="880">
        <v>0</v>
      </c>
      <c r="N67" s="1060">
        <v>0</v>
      </c>
      <c r="O67" s="3196"/>
      <c r="P67" s="1962">
        <v>360165765</v>
      </c>
      <c r="Q67" s="1962">
        <v>360165765</v>
      </c>
      <c r="R67" s="1109">
        <v>0</v>
      </c>
      <c r="S67" s="1109">
        <v>0</v>
      </c>
      <c r="T67" s="1937">
        <f t="shared" ref="T67:U84" si="7">+IF(Q67&gt;0,R67/Q67,0)</f>
        <v>0</v>
      </c>
      <c r="U67" s="1937">
        <f t="shared" si="7"/>
        <v>0</v>
      </c>
      <c r="V67" s="1931">
        <v>45314</v>
      </c>
      <c r="W67" s="1931">
        <v>45656</v>
      </c>
      <c r="X67" s="857" t="s">
        <v>3508</v>
      </c>
      <c r="Y67" s="578" t="s">
        <v>3426</v>
      </c>
    </row>
    <row r="68" spans="1:25">
      <c r="A68" s="3197">
        <v>4151</v>
      </c>
      <c r="B68" s="3197"/>
      <c r="C68" s="3197" t="s">
        <v>123</v>
      </c>
      <c r="D68" s="3198" t="s">
        <v>3567</v>
      </c>
      <c r="E68" s="1932" t="s">
        <v>3568</v>
      </c>
      <c r="F68" s="1950"/>
      <c r="G68" s="1932"/>
      <c r="H68" s="1950"/>
      <c r="I68" s="1932"/>
      <c r="J68" s="1932"/>
      <c r="K68" s="1950">
        <f>K69+K70</f>
        <v>110.5</v>
      </c>
      <c r="L68" s="1934">
        <f>L69+L70</f>
        <v>1</v>
      </c>
      <c r="M68" s="1423">
        <f>M69+M70</f>
        <v>7.5119999999999996</v>
      </c>
      <c r="N68" s="1429">
        <f>N69+N70</f>
        <v>7.0000000000000007E-2</v>
      </c>
      <c r="O68" s="3196">
        <f>IF(Q68&gt;0, N68,"na")</f>
        <v>7.0000000000000007E-2</v>
      </c>
      <c r="P68" s="1952">
        <f>P69+P70</f>
        <v>30250924637</v>
      </c>
      <c r="Q68" s="1436">
        <f>Q69+Q70</f>
        <v>30250924637</v>
      </c>
      <c r="R68" s="1436">
        <f>R69+R70</f>
        <v>3387872850</v>
      </c>
      <c r="S68" s="1436">
        <f>S69+S70</f>
        <v>1078852500</v>
      </c>
      <c r="T68" s="1937">
        <f t="shared" si="7"/>
        <v>0.11199237347794262</v>
      </c>
      <c r="U68" s="1937">
        <f>+IF(R68&gt;0,S68/R68,0)</f>
        <v>0.31844539265988098</v>
      </c>
      <c r="V68" s="1938"/>
      <c r="W68" s="1938"/>
      <c r="X68" s="1414"/>
      <c r="Y68" s="1953"/>
    </row>
    <row r="69" spans="1:25" ht="52.8">
      <c r="A69" s="3197"/>
      <c r="B69" s="3197"/>
      <c r="C69" s="3197"/>
      <c r="D69" s="3198"/>
      <c r="E69" s="1920" t="s">
        <v>3569</v>
      </c>
      <c r="F69" s="1949"/>
      <c r="G69" s="3198" t="s">
        <v>3570</v>
      </c>
      <c r="H69" s="1949"/>
      <c r="I69" s="1920" t="s">
        <v>3571</v>
      </c>
      <c r="J69" s="1920" t="s">
        <v>3572</v>
      </c>
      <c r="K69" s="1949">
        <v>0.5</v>
      </c>
      <c r="L69" s="1930">
        <v>0.21</v>
      </c>
      <c r="M69" s="880">
        <v>0</v>
      </c>
      <c r="N69" s="1060">
        <v>0</v>
      </c>
      <c r="O69" s="3196"/>
      <c r="P69" s="1109">
        <v>5709570211</v>
      </c>
      <c r="Q69" s="1109">
        <v>5709570211</v>
      </c>
      <c r="R69" s="1109">
        <v>0</v>
      </c>
      <c r="S69" s="1109">
        <v>0</v>
      </c>
      <c r="T69" s="1937">
        <f t="shared" si="7"/>
        <v>0</v>
      </c>
      <c r="U69" s="1937">
        <f t="shared" si="7"/>
        <v>0</v>
      </c>
      <c r="V69" s="1931">
        <v>45314</v>
      </c>
      <c r="W69" s="1931">
        <v>45656</v>
      </c>
      <c r="X69" s="857" t="s">
        <v>3573</v>
      </c>
      <c r="Y69" s="3201" t="s">
        <v>3426</v>
      </c>
    </row>
    <row r="70" spans="1:25" ht="409.6">
      <c r="A70" s="3197"/>
      <c r="B70" s="3197"/>
      <c r="C70" s="3197"/>
      <c r="D70" s="3198"/>
      <c r="E70" s="1920" t="s">
        <v>3574</v>
      </c>
      <c r="F70" s="1949"/>
      <c r="G70" s="3198"/>
      <c r="H70" s="1949"/>
      <c r="I70" s="1920" t="s">
        <v>3575</v>
      </c>
      <c r="J70" s="1920" t="s">
        <v>3576</v>
      </c>
      <c r="K70" s="1949">
        <v>110</v>
      </c>
      <c r="L70" s="1930">
        <v>0.79</v>
      </c>
      <c r="M70" s="880">
        <v>7.5119999999999996</v>
      </c>
      <c r="N70" s="1060">
        <v>7.0000000000000007E-2</v>
      </c>
      <c r="O70" s="3196"/>
      <c r="P70" s="1109">
        <v>24541354426</v>
      </c>
      <c r="Q70" s="1109">
        <v>24541354426</v>
      </c>
      <c r="R70" s="1109">
        <v>3387872850</v>
      </c>
      <c r="S70" s="1109">
        <v>1078852500</v>
      </c>
      <c r="T70" s="1937">
        <f t="shared" si="7"/>
        <v>0.13804750916317662</v>
      </c>
      <c r="U70" s="1937">
        <f>+IF(R70&gt;0,S70/R70,0)</f>
        <v>0.31844539265988098</v>
      </c>
      <c r="V70" s="1931">
        <v>45314</v>
      </c>
      <c r="W70" s="1931">
        <v>45656</v>
      </c>
      <c r="X70" s="857" t="s">
        <v>3577</v>
      </c>
      <c r="Y70" s="3201"/>
    </row>
    <row r="71" spans="1:25">
      <c r="A71" s="1977"/>
      <c r="B71" s="1977">
        <v>53040040005</v>
      </c>
      <c r="C71" s="1977" t="s">
        <v>117</v>
      </c>
      <c r="D71" s="1928" t="s">
        <v>3578</v>
      </c>
      <c r="E71" s="1920" t="s">
        <v>3579</v>
      </c>
      <c r="F71" s="1949"/>
      <c r="G71" s="1920"/>
      <c r="H71" s="1941"/>
      <c r="I71" s="1920"/>
      <c r="J71" s="1920"/>
      <c r="K71" s="1941">
        <f>K72</f>
        <v>7</v>
      </c>
      <c r="L71" s="1930"/>
      <c r="M71" s="880"/>
      <c r="N71" s="1060"/>
      <c r="O71" s="2774"/>
      <c r="P71" s="880"/>
      <c r="Q71" s="1109"/>
      <c r="R71" s="880"/>
      <c r="S71" s="880"/>
      <c r="T71" s="1937"/>
      <c r="U71" s="1937"/>
      <c r="V71" s="1946"/>
      <c r="W71" s="1946"/>
      <c r="X71" s="857"/>
      <c r="Y71" s="1947"/>
    </row>
    <row r="72" spans="1:25">
      <c r="A72" s="3197">
        <v>4151</v>
      </c>
      <c r="B72" s="3197"/>
      <c r="C72" s="3197" t="s">
        <v>123</v>
      </c>
      <c r="D72" s="3198" t="s">
        <v>3580</v>
      </c>
      <c r="E72" s="1932" t="s">
        <v>3581</v>
      </c>
      <c r="F72" s="1950"/>
      <c r="G72" s="1932"/>
      <c r="H72" s="1951"/>
      <c r="I72" s="1932"/>
      <c r="J72" s="1932"/>
      <c r="K72" s="1951">
        <f>K73</f>
        <v>7</v>
      </c>
      <c r="L72" s="1955">
        <f>L73</f>
        <v>1</v>
      </c>
      <c r="M72" s="1423">
        <v>0</v>
      </c>
      <c r="N72" s="1429">
        <v>0</v>
      </c>
      <c r="O72" s="3196">
        <f>IF(Q72&gt;0, N73,"na")</f>
        <v>0</v>
      </c>
      <c r="P72" s="1436">
        <f>P73</f>
        <v>2135480878</v>
      </c>
      <c r="Q72" s="1436">
        <f>Q73</f>
        <v>2135480878</v>
      </c>
      <c r="R72" s="1436">
        <f>R73</f>
        <v>0</v>
      </c>
      <c r="S72" s="1436">
        <f>S73</f>
        <v>0</v>
      </c>
      <c r="T72" s="1937">
        <f t="shared" si="7"/>
        <v>0</v>
      </c>
      <c r="U72" s="1937">
        <f>+IF(R72&gt;0,S72/R72,0)</f>
        <v>0</v>
      </c>
      <c r="V72" s="1938"/>
      <c r="W72" s="1938"/>
      <c r="X72" s="1414"/>
      <c r="Y72" s="1939"/>
    </row>
    <row r="73" spans="1:25" ht="79.2">
      <c r="A73" s="3197"/>
      <c r="B73" s="3197"/>
      <c r="C73" s="3197"/>
      <c r="D73" s="3198"/>
      <c r="E73" s="1920" t="s">
        <v>3582</v>
      </c>
      <c r="F73" s="1949"/>
      <c r="G73" s="1920" t="s">
        <v>3583</v>
      </c>
      <c r="H73" s="1941"/>
      <c r="I73" s="1920" t="s">
        <v>3584</v>
      </c>
      <c r="J73" s="1920" t="s">
        <v>3585</v>
      </c>
      <c r="K73" s="1941">
        <v>7</v>
      </c>
      <c r="L73" s="1930">
        <v>1</v>
      </c>
      <c r="M73" s="880">
        <v>0</v>
      </c>
      <c r="N73" s="1060">
        <v>0</v>
      </c>
      <c r="O73" s="3196"/>
      <c r="P73" s="1109">
        <v>2135480878</v>
      </c>
      <c r="Q73" s="1109">
        <v>2135480878</v>
      </c>
      <c r="R73" s="1109">
        <v>0</v>
      </c>
      <c r="S73" s="1109">
        <v>0</v>
      </c>
      <c r="T73" s="1937">
        <f t="shared" si="7"/>
        <v>0</v>
      </c>
      <c r="U73" s="1937">
        <f t="shared" si="7"/>
        <v>0</v>
      </c>
      <c r="V73" s="1931">
        <v>45314</v>
      </c>
      <c r="W73" s="1931">
        <v>45656</v>
      </c>
      <c r="X73" s="857" t="s">
        <v>3586</v>
      </c>
      <c r="Y73" s="578" t="s">
        <v>3426</v>
      </c>
    </row>
    <row r="74" spans="1:25" ht="27.6">
      <c r="A74" s="1977"/>
      <c r="B74" s="1977">
        <v>53040040006</v>
      </c>
      <c r="C74" s="1977" t="s">
        <v>117</v>
      </c>
      <c r="D74" s="1928" t="s">
        <v>3587</v>
      </c>
      <c r="E74" s="1920" t="s">
        <v>3579</v>
      </c>
      <c r="F74" s="1949"/>
      <c r="G74" s="1920"/>
      <c r="H74" s="1941"/>
      <c r="I74" s="1920"/>
      <c r="J74" s="1920"/>
      <c r="K74" s="1941">
        <f>K75</f>
        <v>6</v>
      </c>
      <c r="L74" s="1945"/>
      <c r="M74" s="880"/>
      <c r="N74" s="1060"/>
      <c r="O74" s="2774"/>
      <c r="P74" s="880"/>
      <c r="Q74" s="1109"/>
      <c r="R74" s="880"/>
      <c r="S74" s="880"/>
      <c r="T74" s="1937"/>
      <c r="U74" s="1937"/>
      <c r="V74" s="1946"/>
      <c r="W74" s="1946"/>
      <c r="X74" s="857"/>
      <c r="Y74" s="1947"/>
    </row>
    <row r="75" spans="1:25">
      <c r="A75" s="3197">
        <v>4151</v>
      </c>
      <c r="B75" s="3197"/>
      <c r="C75" s="3197" t="s">
        <v>123</v>
      </c>
      <c r="D75" s="3198" t="s">
        <v>3588</v>
      </c>
      <c r="E75" s="1932" t="s">
        <v>3589</v>
      </c>
      <c r="F75" s="1950"/>
      <c r="G75" s="1932"/>
      <c r="H75" s="1951"/>
      <c r="I75" s="1932"/>
      <c r="J75" s="1932"/>
      <c r="K75" s="1951">
        <f>K76</f>
        <v>6</v>
      </c>
      <c r="L75" s="1955">
        <f>L76</f>
        <v>1</v>
      </c>
      <c r="M75" s="1423">
        <v>0</v>
      </c>
      <c r="N75" s="1429">
        <v>0</v>
      </c>
      <c r="O75" s="3196">
        <f>IF(Q75&gt;0, N76,"na")</f>
        <v>0</v>
      </c>
      <c r="P75" s="1952">
        <f>P76</f>
        <v>4937104991</v>
      </c>
      <c r="Q75" s="1964">
        <f>Q76</f>
        <v>4937104991</v>
      </c>
      <c r="R75" s="1436">
        <f>R76</f>
        <v>366521000</v>
      </c>
      <c r="S75" s="1436">
        <f>S76</f>
        <v>204843000</v>
      </c>
      <c r="T75" s="1937">
        <f t="shared" si="7"/>
        <v>7.4238040444378303E-2</v>
      </c>
      <c r="U75" s="1937">
        <f>+IF(R75&gt;0,S75/R75,0)</f>
        <v>0.55888475694434969</v>
      </c>
      <c r="V75" s="1938"/>
      <c r="W75" s="1938"/>
      <c r="X75" s="1414"/>
      <c r="Y75" s="1939"/>
    </row>
    <row r="76" spans="1:25" ht="92.4">
      <c r="A76" s="3197"/>
      <c r="B76" s="3197"/>
      <c r="C76" s="3197"/>
      <c r="D76" s="3198"/>
      <c r="E76" s="1920" t="s">
        <v>3590</v>
      </c>
      <c r="F76" s="1949"/>
      <c r="G76" s="1920" t="s">
        <v>3591</v>
      </c>
      <c r="H76" s="1941"/>
      <c r="I76" s="1920" t="s">
        <v>3592</v>
      </c>
      <c r="J76" s="1920" t="s">
        <v>3593</v>
      </c>
      <c r="K76" s="1941">
        <v>6</v>
      </c>
      <c r="L76" s="1930">
        <v>1</v>
      </c>
      <c r="M76" s="880">
        <v>0</v>
      </c>
      <c r="N76" s="1060">
        <v>0</v>
      </c>
      <c r="O76" s="3196"/>
      <c r="P76" s="1965">
        <v>4937104991</v>
      </c>
      <c r="Q76" s="1965">
        <v>4937104991</v>
      </c>
      <c r="R76" s="1109">
        <v>366521000</v>
      </c>
      <c r="S76" s="1109">
        <v>204843000</v>
      </c>
      <c r="T76" s="1937">
        <f t="shared" si="7"/>
        <v>7.4238040444378303E-2</v>
      </c>
      <c r="U76" s="1937">
        <f t="shared" si="7"/>
        <v>0.55888475694434969</v>
      </c>
      <c r="V76" s="1931">
        <v>45314</v>
      </c>
      <c r="W76" s="1931">
        <v>45656</v>
      </c>
      <c r="X76" s="857" t="s">
        <v>3594</v>
      </c>
      <c r="Y76" s="578" t="s">
        <v>3595</v>
      </c>
    </row>
    <row r="77" spans="1:25" ht="27.6">
      <c r="A77" s="1977"/>
      <c r="B77" s="1977">
        <v>53050020003</v>
      </c>
      <c r="C77" s="1977" t="s">
        <v>117</v>
      </c>
      <c r="D77" s="1928" t="s">
        <v>3596</v>
      </c>
      <c r="E77" s="1920" t="s">
        <v>3597</v>
      </c>
      <c r="F77" s="1941"/>
      <c r="G77" s="1920"/>
      <c r="H77" s="1941"/>
      <c r="I77" s="1920"/>
      <c r="J77" s="1920"/>
      <c r="K77" s="1941">
        <f>K78+K80</f>
        <v>72</v>
      </c>
      <c r="L77" s="1930"/>
      <c r="M77" s="880"/>
      <c r="N77" s="1060"/>
      <c r="O77" s="2774"/>
      <c r="P77" s="880"/>
      <c r="Q77" s="1109"/>
      <c r="R77" s="880"/>
      <c r="S77" s="880"/>
      <c r="T77" s="1937"/>
      <c r="U77" s="1937"/>
      <c r="V77" s="1931"/>
      <c r="W77" s="1931"/>
      <c r="X77" s="857"/>
      <c r="Y77" s="578"/>
    </row>
    <row r="78" spans="1:25">
      <c r="A78" s="3197">
        <v>4151</v>
      </c>
      <c r="B78" s="3197"/>
      <c r="C78" s="3197" t="s">
        <v>123</v>
      </c>
      <c r="D78" s="3198" t="s">
        <v>3598</v>
      </c>
      <c r="E78" s="1932" t="s">
        <v>3599</v>
      </c>
      <c r="F78" s="1957"/>
      <c r="G78" s="1932"/>
      <c r="H78" s="1951"/>
      <c r="I78" s="1932"/>
      <c r="J78" s="1932"/>
      <c r="K78" s="1951">
        <f>K79</f>
        <v>7</v>
      </c>
      <c r="L78" s="1955">
        <f>L79</f>
        <v>1</v>
      </c>
      <c r="M78" s="1423">
        <v>0</v>
      </c>
      <c r="N78" s="1429">
        <v>0</v>
      </c>
      <c r="O78" s="3196">
        <f>IF(Q78&gt;0, N79,"na")</f>
        <v>0</v>
      </c>
      <c r="P78" s="1952">
        <f>P79</f>
        <v>3416769403</v>
      </c>
      <c r="Q78" s="1436">
        <f>Q79</f>
        <v>3416769403</v>
      </c>
      <c r="R78" s="1436">
        <f>R79</f>
        <v>0</v>
      </c>
      <c r="S78" s="1436">
        <f>S79</f>
        <v>0</v>
      </c>
      <c r="T78" s="1937">
        <f t="shared" si="7"/>
        <v>0</v>
      </c>
      <c r="U78" s="1937">
        <f t="shared" si="7"/>
        <v>0</v>
      </c>
      <c r="V78" s="1938"/>
      <c r="W78" s="1938"/>
      <c r="X78" s="1414"/>
      <c r="Y78" s="1939"/>
    </row>
    <row r="79" spans="1:25" ht="79.2">
      <c r="A79" s="3197"/>
      <c r="B79" s="3197"/>
      <c r="C79" s="3197"/>
      <c r="D79" s="3198"/>
      <c r="E79" s="1920" t="s">
        <v>3600</v>
      </c>
      <c r="F79" s="1958"/>
      <c r="G79" s="1920" t="s">
        <v>3601</v>
      </c>
      <c r="H79" s="1941"/>
      <c r="I79" s="1920" t="s">
        <v>3602</v>
      </c>
      <c r="J79" s="1920" t="s">
        <v>3603</v>
      </c>
      <c r="K79" s="1941">
        <v>7</v>
      </c>
      <c r="L79" s="1930">
        <v>1</v>
      </c>
      <c r="M79" s="880">
        <v>0</v>
      </c>
      <c r="N79" s="1060">
        <v>0</v>
      </c>
      <c r="O79" s="3196"/>
      <c r="P79" s="1962">
        <v>3416769403</v>
      </c>
      <c r="Q79" s="1962">
        <v>3416769403</v>
      </c>
      <c r="R79" s="1109">
        <v>0</v>
      </c>
      <c r="S79" s="1109">
        <v>0</v>
      </c>
      <c r="T79" s="1937">
        <f t="shared" si="7"/>
        <v>0</v>
      </c>
      <c r="U79" s="1937">
        <f t="shared" si="7"/>
        <v>0</v>
      </c>
      <c r="V79" s="1931">
        <v>45314</v>
      </c>
      <c r="W79" s="1931">
        <v>45656</v>
      </c>
      <c r="X79" s="857" t="s">
        <v>3604</v>
      </c>
      <c r="Y79" s="578" t="s">
        <v>3426</v>
      </c>
    </row>
    <row r="80" spans="1:25">
      <c r="A80" s="3197">
        <v>4151</v>
      </c>
      <c r="B80" s="3197"/>
      <c r="C80" s="3197" t="s">
        <v>123</v>
      </c>
      <c r="D80" s="3198" t="s">
        <v>3605</v>
      </c>
      <c r="E80" s="1932" t="s">
        <v>3606</v>
      </c>
      <c r="F80" s="1957"/>
      <c r="G80" s="1932"/>
      <c r="H80" s="1951"/>
      <c r="I80" s="1932"/>
      <c r="J80" s="1932"/>
      <c r="K80" s="1951">
        <f>K81</f>
        <v>65</v>
      </c>
      <c r="L80" s="1955">
        <f>L81</f>
        <v>1</v>
      </c>
      <c r="M80" s="1423"/>
      <c r="N80" s="1429"/>
      <c r="O80" s="3196">
        <f>IF(Q80&gt;0, N81,"na")</f>
        <v>0</v>
      </c>
      <c r="P80" s="1952">
        <f>P81</f>
        <v>188021335</v>
      </c>
      <c r="Q80" s="1436">
        <f>Q81</f>
        <v>188021335</v>
      </c>
      <c r="R80" s="1436">
        <v>0</v>
      </c>
      <c r="S80" s="1436">
        <v>0</v>
      </c>
      <c r="T80" s="1937">
        <f t="shared" si="7"/>
        <v>0</v>
      </c>
      <c r="U80" s="1937">
        <f>+IF(R80&gt;0,S80/R80,0)</f>
        <v>0</v>
      </c>
      <c r="V80" s="1938"/>
      <c r="W80" s="1938"/>
      <c r="X80" s="1414"/>
      <c r="Y80" s="1939"/>
    </row>
    <row r="81" spans="1:25" ht="105.6">
      <c r="A81" s="3197"/>
      <c r="B81" s="3197"/>
      <c r="C81" s="3197"/>
      <c r="D81" s="3198"/>
      <c r="E81" s="1920" t="s">
        <v>3607</v>
      </c>
      <c r="F81" s="1958"/>
      <c r="G81" s="1920" t="s">
        <v>3608</v>
      </c>
      <c r="H81" s="1941"/>
      <c r="I81" s="1920" t="s">
        <v>3609</v>
      </c>
      <c r="J81" s="1920" t="s">
        <v>3610</v>
      </c>
      <c r="K81" s="1941">
        <v>65</v>
      </c>
      <c r="L81" s="1930">
        <v>1</v>
      </c>
      <c r="M81" s="880">
        <v>0</v>
      </c>
      <c r="N81" s="1060">
        <v>0</v>
      </c>
      <c r="O81" s="3196"/>
      <c r="P81" s="1962">
        <v>188021335</v>
      </c>
      <c r="Q81" s="1962">
        <v>188021335</v>
      </c>
      <c r="R81" s="1109">
        <v>0</v>
      </c>
      <c r="S81" s="1109">
        <v>0</v>
      </c>
      <c r="T81" s="1937">
        <f t="shared" si="7"/>
        <v>0</v>
      </c>
      <c r="U81" s="1937">
        <f t="shared" si="7"/>
        <v>0</v>
      </c>
      <c r="V81" s="1931">
        <v>45314</v>
      </c>
      <c r="W81" s="1931">
        <v>45656</v>
      </c>
      <c r="X81" s="857" t="s">
        <v>3483</v>
      </c>
      <c r="Y81" s="578" t="s">
        <v>3426</v>
      </c>
    </row>
    <row r="82" spans="1:25" ht="41.4">
      <c r="A82" s="1977"/>
      <c r="B82" s="1977">
        <v>53050020011</v>
      </c>
      <c r="C82" s="1977" t="s">
        <v>117</v>
      </c>
      <c r="D82" s="1928" t="s">
        <v>3611</v>
      </c>
      <c r="E82" s="1920" t="s">
        <v>3612</v>
      </c>
      <c r="F82" s="1941"/>
      <c r="G82" s="1920"/>
      <c r="H82" s="1941"/>
      <c r="I82" s="1920"/>
      <c r="J82" s="1920"/>
      <c r="K82" s="1941">
        <f>K83</f>
        <v>540</v>
      </c>
      <c r="L82" s="1930"/>
      <c r="M82" s="880"/>
      <c r="N82" s="1060"/>
      <c r="O82" s="2774"/>
      <c r="P82" s="880"/>
      <c r="Q82" s="1109"/>
      <c r="R82" s="880"/>
      <c r="S82" s="880"/>
      <c r="T82" s="1937"/>
      <c r="U82" s="1937"/>
      <c r="V82" s="1946"/>
      <c r="W82" s="1946"/>
      <c r="X82" s="857"/>
      <c r="Y82" s="1947"/>
    </row>
    <row r="83" spans="1:25">
      <c r="A83" s="3197">
        <v>4151</v>
      </c>
      <c r="B83" s="3197"/>
      <c r="C83" s="3197" t="s">
        <v>123</v>
      </c>
      <c r="D83" s="3198" t="s">
        <v>3613</v>
      </c>
      <c r="E83" s="1932" t="s">
        <v>3614</v>
      </c>
      <c r="F83" s="1957"/>
      <c r="G83" s="1932"/>
      <c r="H83" s="1951"/>
      <c r="I83" s="1932"/>
      <c r="J83" s="1932"/>
      <c r="K83" s="1951">
        <f>K84</f>
        <v>540</v>
      </c>
      <c r="L83" s="1955">
        <f>L84</f>
        <v>1</v>
      </c>
      <c r="M83" s="1423">
        <v>12</v>
      </c>
      <c r="N83" s="1429">
        <f>+M83/K83</f>
        <v>2.2222222222222223E-2</v>
      </c>
      <c r="O83" s="3196">
        <f>IF(Q83&gt;0, N84,"na")</f>
        <v>2.2222222222222223E-2</v>
      </c>
      <c r="P83" s="1436">
        <f>P84</f>
        <v>854192351</v>
      </c>
      <c r="Q83" s="1436">
        <f>Q84</f>
        <v>854192351</v>
      </c>
      <c r="R83" s="1436">
        <f>R84</f>
        <v>25719000</v>
      </c>
      <c r="S83" s="1436">
        <f>S84</f>
        <v>0</v>
      </c>
      <c r="T83" s="1937">
        <f t="shared" si="7"/>
        <v>3.0109143414701452E-2</v>
      </c>
      <c r="U83" s="1937">
        <f t="shared" si="7"/>
        <v>0</v>
      </c>
      <c r="V83" s="1938"/>
      <c r="W83" s="1938"/>
      <c r="X83" s="1414"/>
      <c r="Y83" s="1939"/>
    </row>
    <row r="84" spans="1:25" ht="224.4">
      <c r="A84" s="3199"/>
      <c r="B84" s="3199"/>
      <c r="C84" s="3199"/>
      <c r="D84" s="3200"/>
      <c r="E84" s="1966" t="s">
        <v>3615</v>
      </c>
      <c r="F84" s="1967"/>
      <c r="G84" s="1966" t="s">
        <v>3616</v>
      </c>
      <c r="H84" s="1968"/>
      <c r="I84" s="1966" t="s">
        <v>3617</v>
      </c>
      <c r="J84" s="1966" t="s">
        <v>3618</v>
      </c>
      <c r="K84" s="1968">
        <v>540</v>
      </c>
      <c r="L84" s="1969">
        <v>1</v>
      </c>
      <c r="M84" s="1041">
        <v>12</v>
      </c>
      <c r="N84" s="1984">
        <f>+M84/K84</f>
        <v>2.2222222222222223E-2</v>
      </c>
      <c r="O84" s="3196"/>
      <c r="P84" s="1970">
        <v>854192351</v>
      </c>
      <c r="Q84" s="1970">
        <v>854192351</v>
      </c>
      <c r="R84" s="1970">
        <v>25719000</v>
      </c>
      <c r="S84" s="1970">
        <v>0</v>
      </c>
      <c r="T84" s="1971">
        <f t="shared" si="7"/>
        <v>3.0109143414701452E-2</v>
      </c>
      <c r="U84" s="1971">
        <f t="shared" si="7"/>
        <v>0</v>
      </c>
      <c r="V84" s="1972">
        <v>45314</v>
      </c>
      <c r="W84" s="1972">
        <v>45656</v>
      </c>
      <c r="X84" s="883" t="s">
        <v>3619</v>
      </c>
      <c r="Y84" s="1973" t="s">
        <v>3426</v>
      </c>
    </row>
    <row r="85" spans="1:25" ht="14.4">
      <c r="A85" s="1894"/>
      <c r="B85" s="1893"/>
      <c r="C85" s="1893"/>
      <c r="D85" s="1900"/>
      <c r="E85" s="1900"/>
      <c r="F85" s="1900"/>
      <c r="G85" s="1900"/>
      <c r="H85" s="1900"/>
      <c r="I85" s="1900"/>
      <c r="J85" s="1900"/>
      <c r="K85" s="1894"/>
      <c r="L85" s="1894"/>
      <c r="M85" s="1900"/>
      <c r="N85" s="1900"/>
      <c r="O85" s="1900"/>
      <c r="P85" s="1900"/>
      <c r="Q85" s="1900"/>
      <c r="R85" s="1900"/>
      <c r="S85" s="1900"/>
      <c r="T85" s="1901"/>
      <c r="U85" s="1902"/>
      <c r="V85" s="1895"/>
      <c r="W85" s="1895"/>
      <c r="X85" s="1896"/>
      <c r="Y85" s="1896"/>
    </row>
    <row r="86" spans="1:25" ht="14.4">
      <c r="A86" s="1894"/>
      <c r="B86" s="1893" t="s">
        <v>50</v>
      </c>
      <c r="C86" s="1755">
        <f>COUNTIF(C7:C84,"Pr")</f>
        <v>26</v>
      </c>
      <c r="D86" s="1900"/>
      <c r="E86" s="1900" t="s">
        <v>126</v>
      </c>
      <c r="F86" s="1900"/>
      <c r="G86" s="45">
        <f>COUNTIF(O11:O84,"na")</f>
        <v>0</v>
      </c>
      <c r="H86" s="1900"/>
      <c r="I86" s="1900"/>
      <c r="J86" s="1900"/>
      <c r="K86" s="1894"/>
      <c r="L86" s="1894"/>
      <c r="M86" s="1900"/>
      <c r="N86" s="1900" t="s">
        <v>127</v>
      </c>
      <c r="O86" s="1897">
        <f>AVERAGE(O11:O84)</f>
        <v>4.8547008547008552E-3</v>
      </c>
      <c r="P86" s="1898">
        <f>P11+P18+P23+P27+P33+P35+P37+P39+P41+P44+P46+P49+P51+P53+P56+P58+P60+P62+P64+P66+P68+P72+P75+P78+P80+P83</f>
        <v>142992124396</v>
      </c>
      <c r="Q86" s="1898">
        <f>Q11+Q18+Q23+Q27+Q33+Q35+Q37+Q39+Q41+Q44+Q46+Q49+Q51+Q53+Q56+Q58+Q60+Q62+Q64+Q66+Q68+Q72+Q75+Q78+Q80+Q83</f>
        <v>143770988441</v>
      </c>
      <c r="R86" s="1904">
        <f>R11+R18+R23+R27+R33+R35+R37+R39+R41+R44+R46+R49+R51+R53+R56+R58+R60+R62+R64+R66+R68+R72+R75+R78+R80+R83</f>
        <v>3950294850</v>
      </c>
      <c r="S86" s="1904">
        <f>S11+S18+S23+S27+S33+S35+S37+S39+S41+S44+S46+S49+S51+S53+S56+S58+S60+S62+S64+S66+S68+S72+S75+S78+S80+S83</f>
        <v>1283695500</v>
      </c>
      <c r="T86" s="1905">
        <f>IF(Q86=0,0,R86/Q86)</f>
        <v>2.7476300280296826E-2</v>
      </c>
      <c r="U86" s="1905">
        <f>IF(R86=0,0,S86/R86)</f>
        <v>0.32496194556211416</v>
      </c>
      <c r="V86" s="1899"/>
      <c r="W86" s="1899"/>
      <c r="X86" s="1896"/>
      <c r="Y86" s="1896"/>
    </row>
    <row r="87" spans="1:25" ht="14.4">
      <c r="A87" s="1894"/>
      <c r="B87" s="1894"/>
      <c r="C87" s="1894"/>
      <c r="D87" s="1900"/>
      <c r="E87" s="1900"/>
      <c r="F87" s="1900"/>
      <c r="G87" s="1900"/>
      <c r="H87" s="1900"/>
      <c r="I87" s="1900"/>
      <c r="J87" s="1900"/>
      <c r="K87" s="1894"/>
      <c r="L87" s="1894"/>
      <c r="M87" s="1900"/>
      <c r="N87" s="1981" t="s">
        <v>133</v>
      </c>
      <c r="O87" s="48">
        <f>COUNTIF(O11:O84,0)</f>
        <v>23</v>
      </c>
      <c r="P87" s="1898">
        <v>142992124396</v>
      </c>
      <c r="Q87" s="55">
        <v>143770988441</v>
      </c>
      <c r="R87" s="55">
        <v>3950294850</v>
      </c>
      <c r="S87" s="55">
        <v>1283695500</v>
      </c>
      <c r="T87" s="1906"/>
      <c r="U87" s="1906"/>
      <c r="V87" s="1899"/>
      <c r="W87" s="1899"/>
      <c r="X87" s="1896"/>
      <c r="Y87" s="1896"/>
    </row>
  </sheetData>
  <autoFilter ref="A5:Y6" xr:uid="{00000000-0009-0000-0000-000011000000}"/>
  <mergeCells count="175">
    <mergeCell ref="O78:O79"/>
    <mergeCell ref="O80:O81"/>
    <mergeCell ref="O56:O57"/>
    <mergeCell ref="O58:O59"/>
    <mergeCell ref="O60:O61"/>
    <mergeCell ref="O62:O63"/>
    <mergeCell ref="O64:O65"/>
    <mergeCell ref="O66:O67"/>
    <mergeCell ref="O68:O70"/>
    <mergeCell ref="O72:O73"/>
    <mergeCell ref="O75:O76"/>
    <mergeCell ref="O35:O36"/>
    <mergeCell ref="O37:O38"/>
    <mergeCell ref="O39:O40"/>
    <mergeCell ref="O41:O43"/>
    <mergeCell ref="O44:O45"/>
    <mergeCell ref="O46:O48"/>
    <mergeCell ref="O49:O50"/>
    <mergeCell ref="O51:O52"/>
    <mergeCell ref="O53:O54"/>
    <mergeCell ref="A1:X1"/>
    <mergeCell ref="V3:W3"/>
    <mergeCell ref="J5:J6"/>
    <mergeCell ref="C5:C6"/>
    <mergeCell ref="D5:D6"/>
    <mergeCell ref="M5:M6"/>
    <mergeCell ref="P5:P6"/>
    <mergeCell ref="X5:X6"/>
    <mergeCell ref="N5:N6"/>
    <mergeCell ref="S3:U3"/>
    <mergeCell ref="A4:Y4"/>
    <mergeCell ref="A5:A6"/>
    <mergeCell ref="T5:T6"/>
    <mergeCell ref="W5:W6"/>
    <mergeCell ref="A2:Y2"/>
    <mergeCell ref="A3:B3"/>
    <mergeCell ref="C3:R3"/>
    <mergeCell ref="Y5:Y6"/>
    <mergeCell ref="S5:S6"/>
    <mergeCell ref="B5:B6"/>
    <mergeCell ref="H5:H6"/>
    <mergeCell ref="Q5:Q6"/>
    <mergeCell ref="V5:V6"/>
    <mergeCell ref="L5:L6"/>
    <mergeCell ref="O5:O6"/>
    <mergeCell ref="R5:R6"/>
    <mergeCell ref="K5:K6"/>
    <mergeCell ref="U5:U6"/>
    <mergeCell ref="E5:E6"/>
    <mergeCell ref="F5:F6"/>
    <mergeCell ref="I5:I6"/>
    <mergeCell ref="G5:G6"/>
    <mergeCell ref="N12:N13"/>
    <mergeCell ref="Y12:Y13"/>
    <mergeCell ref="A18:A19"/>
    <mergeCell ref="B18:B19"/>
    <mergeCell ref="C18:C19"/>
    <mergeCell ref="D18:D19"/>
    <mergeCell ref="A11:A13"/>
    <mergeCell ref="B11:B13"/>
    <mergeCell ref="C11:C13"/>
    <mergeCell ref="D11:D13"/>
    <mergeCell ref="G12:G13"/>
    <mergeCell ref="O18:O20"/>
    <mergeCell ref="X28:X30"/>
    <mergeCell ref="Y28:Y30"/>
    <mergeCell ref="A33:A34"/>
    <mergeCell ref="B33:B34"/>
    <mergeCell ref="C33:C34"/>
    <mergeCell ref="D33:D34"/>
    <mergeCell ref="A23:A24"/>
    <mergeCell ref="B23:B24"/>
    <mergeCell ref="C23:C24"/>
    <mergeCell ref="D23:D24"/>
    <mergeCell ref="A27:A30"/>
    <mergeCell ref="B27:B30"/>
    <mergeCell ref="C27:C30"/>
    <mergeCell ref="D27:D30"/>
    <mergeCell ref="O23:O25"/>
    <mergeCell ref="O27:O30"/>
    <mergeCell ref="O33:O34"/>
    <mergeCell ref="A35:A36"/>
    <mergeCell ref="B35:B36"/>
    <mergeCell ref="C35:C36"/>
    <mergeCell ref="D35:D36"/>
    <mergeCell ref="A37:A38"/>
    <mergeCell ref="B37:B38"/>
    <mergeCell ref="C37:C38"/>
    <mergeCell ref="D37:D38"/>
    <mergeCell ref="G28:G30"/>
    <mergeCell ref="G42:G43"/>
    <mergeCell ref="X42:X43"/>
    <mergeCell ref="Y42:Y43"/>
    <mergeCell ref="A44:A45"/>
    <mergeCell ref="B44:B45"/>
    <mergeCell ref="C44:C45"/>
    <mergeCell ref="D44:D45"/>
    <mergeCell ref="A39:A40"/>
    <mergeCell ref="B39:B40"/>
    <mergeCell ref="C39:C40"/>
    <mergeCell ref="D39:D40"/>
    <mergeCell ref="A41:A43"/>
    <mergeCell ref="B41:B43"/>
    <mergeCell ref="C41:C43"/>
    <mergeCell ref="D41:D43"/>
    <mergeCell ref="X47:X48"/>
    <mergeCell ref="Y47:Y48"/>
    <mergeCell ref="A49:A50"/>
    <mergeCell ref="C49:C50"/>
    <mergeCell ref="D49:D50"/>
    <mergeCell ref="A46:A48"/>
    <mergeCell ref="B46:B47"/>
    <mergeCell ref="C46:C48"/>
    <mergeCell ref="D46:D48"/>
    <mergeCell ref="G47:G48"/>
    <mergeCell ref="A56:A57"/>
    <mergeCell ref="B56:B57"/>
    <mergeCell ref="C56:C57"/>
    <mergeCell ref="D56:D57"/>
    <mergeCell ref="A58:A59"/>
    <mergeCell ref="B58:B59"/>
    <mergeCell ref="C58:C59"/>
    <mergeCell ref="D58:D59"/>
    <mergeCell ref="A51:A52"/>
    <mergeCell ref="B51:B52"/>
    <mergeCell ref="C51:C52"/>
    <mergeCell ref="D51:D52"/>
    <mergeCell ref="A53:A54"/>
    <mergeCell ref="B53:B54"/>
    <mergeCell ref="C53:C54"/>
    <mergeCell ref="D53:D54"/>
    <mergeCell ref="C66:C67"/>
    <mergeCell ref="D66:D67"/>
    <mergeCell ref="A60:A61"/>
    <mergeCell ref="B60:B61"/>
    <mergeCell ref="C60:C61"/>
    <mergeCell ref="D60:D61"/>
    <mergeCell ref="A62:A63"/>
    <mergeCell ref="B62:B63"/>
    <mergeCell ref="C62:C63"/>
    <mergeCell ref="D62:D63"/>
    <mergeCell ref="Y69:Y70"/>
    <mergeCell ref="A72:A73"/>
    <mergeCell ref="B72:B73"/>
    <mergeCell ref="C72:C73"/>
    <mergeCell ref="D72:D73"/>
    <mergeCell ref="A68:A70"/>
    <mergeCell ref="B68:B70"/>
    <mergeCell ref="C68:C70"/>
    <mergeCell ref="D68:D70"/>
    <mergeCell ref="G69:G70"/>
    <mergeCell ref="O83:O84"/>
    <mergeCell ref="O11:O13"/>
    <mergeCell ref="A80:A81"/>
    <mergeCell ref="B80:B81"/>
    <mergeCell ref="C80:C81"/>
    <mergeCell ref="D80:D81"/>
    <mergeCell ref="A83:A84"/>
    <mergeCell ref="B83:B84"/>
    <mergeCell ref="C83:C84"/>
    <mergeCell ref="D83:D84"/>
    <mergeCell ref="A75:A76"/>
    <mergeCell ref="B75:B76"/>
    <mergeCell ref="C75:C76"/>
    <mergeCell ref="D75:D76"/>
    <mergeCell ref="A78:A79"/>
    <mergeCell ref="B78:B79"/>
    <mergeCell ref="C78:C79"/>
    <mergeCell ref="D78:D79"/>
    <mergeCell ref="A64:A65"/>
    <mergeCell ref="B64:B65"/>
    <mergeCell ref="C64:C65"/>
    <mergeCell ref="D64:D65"/>
    <mergeCell ref="A66:A67"/>
    <mergeCell ref="B66:B67"/>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71"/>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3234" t="s">
        <v>70</v>
      </c>
      <c r="D3" s="3235"/>
      <c r="E3" s="3235"/>
      <c r="F3" s="3235"/>
      <c r="G3" s="3235"/>
      <c r="H3" s="3235"/>
      <c r="I3" s="3235"/>
      <c r="J3" s="3235"/>
      <c r="K3" s="3235"/>
      <c r="L3" s="3235"/>
      <c r="M3" s="3235"/>
      <c r="N3" s="3235"/>
      <c r="O3" s="3235"/>
      <c r="P3" s="3235"/>
      <c r="Q3" s="3235"/>
      <c r="R3" s="3236"/>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923"/>
      <c r="B6" s="2923"/>
      <c r="C6" s="2923"/>
      <c r="D6" s="2923"/>
      <c r="E6" s="2923"/>
      <c r="F6" s="2923"/>
      <c r="G6" s="2923"/>
      <c r="H6" s="2923"/>
      <c r="I6" s="2923"/>
      <c r="J6" s="2923"/>
      <c r="K6" s="2923"/>
      <c r="L6" s="2923"/>
      <c r="M6" s="2925"/>
      <c r="N6" s="2924"/>
      <c r="O6" s="2924"/>
      <c r="P6" s="2922"/>
      <c r="Q6" s="2924"/>
      <c r="R6" s="2924"/>
      <c r="S6" s="2924"/>
      <c r="T6" s="2924"/>
      <c r="U6" s="2924"/>
      <c r="V6" s="2922"/>
      <c r="W6" s="2922"/>
      <c r="X6" s="2924"/>
      <c r="Y6" s="2925"/>
    </row>
    <row r="7" spans="1:25" ht="15.6">
      <c r="A7" s="2043"/>
      <c r="B7" s="161">
        <v>51</v>
      </c>
      <c r="C7" s="81" t="s">
        <v>114</v>
      </c>
      <c r="D7" s="909" t="s">
        <v>148</v>
      </c>
      <c r="E7" s="2043"/>
      <c r="F7" s="2043"/>
      <c r="G7" s="2043"/>
      <c r="H7" s="2043"/>
      <c r="I7" s="2044"/>
      <c r="J7" s="2043"/>
      <c r="K7" s="2043"/>
      <c r="L7" s="2043"/>
      <c r="M7" s="2045"/>
      <c r="N7" s="2043"/>
      <c r="O7" s="2046"/>
      <c r="P7" s="2047"/>
      <c r="Q7" s="2047"/>
      <c r="R7" s="2047"/>
      <c r="S7" s="2047"/>
      <c r="T7" s="2048"/>
      <c r="U7" s="2048"/>
      <c r="V7" s="2043"/>
      <c r="W7" s="2043"/>
      <c r="X7" s="2043"/>
      <c r="Y7" s="2043"/>
    </row>
    <row r="8" spans="1:25" ht="15.6">
      <c r="A8" s="1986"/>
      <c r="B8" s="147">
        <v>5101</v>
      </c>
      <c r="C8" s="85" t="s">
        <v>115</v>
      </c>
      <c r="D8" s="86" t="s">
        <v>1700</v>
      </c>
      <c r="E8" s="1986"/>
      <c r="F8" s="1986"/>
      <c r="G8" s="1986"/>
      <c r="H8" s="1986"/>
      <c r="I8" s="1985"/>
      <c r="J8" s="1986"/>
      <c r="K8" s="1986"/>
      <c r="L8" s="1986"/>
      <c r="M8" s="1987"/>
      <c r="N8" s="1986"/>
      <c r="O8" s="1986"/>
      <c r="P8" s="1988"/>
      <c r="Q8" s="1988"/>
      <c r="R8" s="1988"/>
      <c r="S8" s="1988"/>
      <c r="T8" s="1989"/>
      <c r="U8" s="1989"/>
      <c r="V8" s="1986"/>
      <c r="W8" s="1986"/>
      <c r="X8" s="1986"/>
      <c r="Y8" s="1986"/>
    </row>
    <row r="9" spans="1:25">
      <c r="A9" s="1990"/>
      <c r="B9" s="146">
        <v>5104001</v>
      </c>
      <c r="C9" s="97" t="s">
        <v>116</v>
      </c>
      <c r="D9" s="90" t="s">
        <v>1701</v>
      </c>
      <c r="E9" s="1990"/>
      <c r="F9" s="1990"/>
      <c r="G9" s="1990"/>
      <c r="H9" s="1990"/>
      <c r="I9" s="1991"/>
      <c r="J9" s="1990"/>
      <c r="K9" s="1990"/>
      <c r="L9" s="1990"/>
      <c r="M9" s="1992"/>
      <c r="N9" s="1990"/>
      <c r="O9" s="1990"/>
      <c r="P9" s="1993"/>
      <c r="Q9" s="1993"/>
      <c r="R9" s="1993"/>
      <c r="S9" s="1993"/>
      <c r="T9" s="1994"/>
      <c r="U9" s="1994"/>
      <c r="V9" s="1990"/>
      <c r="W9" s="1990"/>
      <c r="X9" s="1990"/>
      <c r="Y9" s="1990"/>
    </row>
    <row r="10" spans="1:25">
      <c r="A10" s="1995"/>
      <c r="B10" s="116">
        <v>51010010042</v>
      </c>
      <c r="C10" s="117" t="s">
        <v>117</v>
      </c>
      <c r="D10" s="105" t="s">
        <v>3620</v>
      </c>
      <c r="E10" s="1995"/>
      <c r="F10" s="116"/>
      <c r="G10" s="1996"/>
      <c r="H10" s="1797"/>
      <c r="I10" s="1997"/>
      <c r="J10" s="1996"/>
      <c r="K10" s="1995"/>
      <c r="L10" s="1995"/>
      <c r="M10" s="1998"/>
      <c r="N10" s="1995"/>
      <c r="O10" s="1995"/>
      <c r="P10" s="1999"/>
      <c r="Q10" s="1999"/>
      <c r="R10" s="1999"/>
      <c r="S10" s="1999"/>
      <c r="T10" s="2000"/>
      <c r="U10" s="2000"/>
      <c r="V10" s="1995"/>
      <c r="W10" s="1995"/>
      <c r="X10" s="1995"/>
      <c r="Y10" s="1995"/>
    </row>
    <row r="11" spans="1:25">
      <c r="A11" s="2988">
        <v>4152</v>
      </c>
      <c r="B11" s="2001"/>
      <c r="C11" s="2993" t="s">
        <v>502</v>
      </c>
      <c r="D11" s="3226" t="s">
        <v>3621</v>
      </c>
      <c r="E11" s="142" t="s">
        <v>3622</v>
      </c>
      <c r="F11" s="93"/>
      <c r="G11" s="75"/>
      <c r="H11" s="93"/>
      <c r="I11" s="75"/>
      <c r="J11" s="75"/>
      <c r="K11" s="100">
        <f>SUM(K13)</f>
        <v>50</v>
      </c>
      <c r="L11" s="305">
        <f>SUM(L12:L13)</f>
        <v>1</v>
      </c>
      <c r="M11" s="2002"/>
      <c r="N11" s="99">
        <f>SUM(N12:N13)</f>
        <v>0.16</v>
      </c>
      <c r="O11" s="2986">
        <f>IF(Q11&gt;0,N11,"NA")</f>
        <v>0.16</v>
      </c>
      <c r="P11" s="281">
        <f>SUM(P12:P13)</f>
        <v>6136838799</v>
      </c>
      <c r="Q11" s="281">
        <f>SUM(Q12:Q13)</f>
        <v>6136838799</v>
      </c>
      <c r="R11" s="281">
        <f>SUM(R12:R13)</f>
        <v>101324000</v>
      </c>
      <c r="S11" s="281">
        <f>SUM(S12:S13)</f>
        <v>63295000</v>
      </c>
      <c r="T11" s="99">
        <f t="shared" ref="T11:U13" si="0">IF(Q11=0,0,R11/Q11)</f>
        <v>1.6510780764929133E-2</v>
      </c>
      <c r="U11" s="99">
        <f t="shared" si="0"/>
        <v>0.62467924677272901</v>
      </c>
      <c r="V11" s="287"/>
      <c r="W11" s="287"/>
      <c r="X11" s="2001"/>
      <c r="Y11" s="2001"/>
    </row>
    <row r="12" spans="1:25" ht="52.8">
      <c r="A12" s="3229"/>
      <c r="B12" s="2001"/>
      <c r="C12" s="3229"/>
      <c r="D12" s="3229"/>
      <c r="E12" s="1745" t="s">
        <v>3623</v>
      </c>
      <c r="F12" s="115"/>
      <c r="G12" s="95"/>
      <c r="H12" s="92"/>
      <c r="I12" s="115" t="s">
        <v>3624</v>
      </c>
      <c r="J12" s="95" t="s">
        <v>3625</v>
      </c>
      <c r="K12" s="100">
        <v>1</v>
      </c>
      <c r="L12" s="305">
        <v>0.3</v>
      </c>
      <c r="M12" s="2002">
        <v>1</v>
      </c>
      <c r="N12" s="99">
        <v>0.16</v>
      </c>
      <c r="O12" s="3231"/>
      <c r="P12" s="281">
        <v>1859438800</v>
      </c>
      <c r="Q12" s="281">
        <v>1859438800</v>
      </c>
      <c r="R12" s="281">
        <v>101324000</v>
      </c>
      <c r="S12" s="281">
        <v>63295000</v>
      </c>
      <c r="T12" s="99">
        <f t="shared" si="0"/>
        <v>5.4491710079406758E-2</v>
      </c>
      <c r="U12" s="99">
        <f t="shared" si="0"/>
        <v>0.62467924677272901</v>
      </c>
      <c r="V12" s="287">
        <v>45306</v>
      </c>
      <c r="W12" s="287">
        <v>45656</v>
      </c>
      <c r="X12" s="115" t="s">
        <v>3626</v>
      </c>
      <c r="Y12" s="2988" t="s">
        <v>3627</v>
      </c>
    </row>
    <row r="13" spans="1:25" ht="118.8">
      <c r="A13" s="3229"/>
      <c r="B13" s="2001"/>
      <c r="C13" s="3229"/>
      <c r="D13" s="3229"/>
      <c r="E13" s="1745" t="s">
        <v>3628</v>
      </c>
      <c r="F13" s="115"/>
      <c r="G13" s="1796" t="s">
        <v>3629</v>
      </c>
      <c r="H13" s="92"/>
      <c r="I13" s="95" t="s">
        <v>3630</v>
      </c>
      <c r="J13" s="95" t="s">
        <v>3631</v>
      </c>
      <c r="K13" s="100">
        <v>50</v>
      </c>
      <c r="L13" s="305">
        <v>0.7</v>
      </c>
      <c r="M13" s="2002"/>
      <c r="N13" s="99">
        <v>0</v>
      </c>
      <c r="O13" s="3231"/>
      <c r="P13" s="281">
        <v>4277399999</v>
      </c>
      <c r="Q13" s="2061">
        <v>4277399999</v>
      </c>
      <c r="R13" s="281">
        <v>0</v>
      </c>
      <c r="S13" s="281">
        <v>0</v>
      </c>
      <c r="T13" s="99">
        <f t="shared" si="0"/>
        <v>0</v>
      </c>
      <c r="U13" s="99">
        <f t="shared" si="0"/>
        <v>0</v>
      </c>
      <c r="V13" s="287"/>
      <c r="W13" s="287"/>
      <c r="X13" s="115"/>
      <c r="Y13" s="2988"/>
    </row>
    <row r="14" spans="1:25" ht="15.6">
      <c r="A14" s="147"/>
      <c r="B14" s="119">
        <v>53</v>
      </c>
      <c r="C14" s="85" t="s">
        <v>114</v>
      </c>
      <c r="D14" s="1985" t="s">
        <v>3632</v>
      </c>
      <c r="E14" s="147"/>
      <c r="F14" s="147"/>
      <c r="G14" s="88"/>
      <c r="H14" s="85"/>
      <c r="I14" s="88"/>
      <c r="J14" s="88"/>
      <c r="K14" s="2003"/>
      <c r="L14" s="2004"/>
      <c r="M14" s="2005"/>
      <c r="N14" s="2059"/>
      <c r="O14" s="2056"/>
      <c r="P14" s="87"/>
      <c r="Q14" s="87"/>
      <c r="R14" s="87"/>
      <c r="S14" s="87" t="s">
        <v>3633</v>
      </c>
      <c r="T14" s="2059"/>
      <c r="U14" s="2059"/>
      <c r="V14" s="2006"/>
      <c r="W14" s="2006"/>
      <c r="X14" s="147"/>
      <c r="Y14" s="147"/>
    </row>
    <row r="15" spans="1:25" ht="15.6">
      <c r="A15" s="84"/>
      <c r="B15" s="85">
        <v>5304</v>
      </c>
      <c r="C15" s="85" t="s">
        <v>115</v>
      </c>
      <c r="D15" s="86" t="s">
        <v>195</v>
      </c>
      <c r="E15" s="147"/>
      <c r="F15" s="85"/>
      <c r="G15" s="88"/>
      <c r="H15" s="85"/>
      <c r="I15" s="88"/>
      <c r="J15" s="84"/>
      <c r="K15" s="84"/>
      <c r="L15" s="84"/>
      <c r="M15" s="2007"/>
      <c r="N15" s="2057"/>
      <c r="O15" s="2057"/>
      <c r="P15" s="87"/>
      <c r="Q15" s="87"/>
      <c r="R15" s="87"/>
      <c r="S15" s="87"/>
      <c r="T15" s="2059"/>
      <c r="U15" s="2059"/>
      <c r="V15" s="2008"/>
      <c r="W15" s="2008"/>
      <c r="X15" s="85"/>
      <c r="Y15" s="85"/>
    </row>
    <row r="16" spans="1:25">
      <c r="A16" s="89"/>
      <c r="B16" s="97">
        <v>5304002</v>
      </c>
      <c r="C16" s="97" t="s">
        <v>116</v>
      </c>
      <c r="D16" s="90" t="s">
        <v>3634</v>
      </c>
      <c r="E16" s="146"/>
      <c r="F16" s="97"/>
      <c r="G16" s="89"/>
      <c r="H16" s="97"/>
      <c r="I16" s="96"/>
      <c r="J16" s="89"/>
      <c r="K16" s="89"/>
      <c r="L16" s="89"/>
      <c r="M16" s="2009"/>
      <c r="N16" s="2058"/>
      <c r="O16" s="2058"/>
      <c r="P16" s="98"/>
      <c r="Q16" s="98"/>
      <c r="R16" s="98"/>
      <c r="S16" s="98"/>
      <c r="T16" s="2066"/>
      <c r="U16" s="2066"/>
      <c r="V16" s="2010"/>
      <c r="W16" s="2010"/>
      <c r="X16" s="97"/>
      <c r="Y16" s="97"/>
    </row>
    <row r="17" spans="1:25">
      <c r="A17" s="91"/>
      <c r="B17" s="72">
        <v>53040020006</v>
      </c>
      <c r="C17" s="117" t="s">
        <v>117</v>
      </c>
      <c r="D17" s="105" t="s">
        <v>3635</v>
      </c>
      <c r="E17" s="72"/>
      <c r="F17" s="72"/>
      <c r="G17" s="91"/>
      <c r="H17" s="72"/>
      <c r="I17" s="73"/>
      <c r="J17" s="91"/>
      <c r="K17" s="91"/>
      <c r="L17" s="91"/>
      <c r="M17" s="2011"/>
      <c r="N17" s="220"/>
      <c r="O17" s="220"/>
      <c r="P17" s="78"/>
      <c r="Q17" s="78"/>
      <c r="R17" s="78"/>
      <c r="S17" s="78"/>
      <c r="T17" s="2060"/>
      <c r="U17" s="2060"/>
      <c r="V17" s="2013"/>
      <c r="W17" s="2013"/>
      <c r="X17" s="72"/>
      <c r="Y17" s="72"/>
    </row>
    <row r="18" spans="1:25">
      <c r="A18" s="2988">
        <v>4152</v>
      </c>
      <c r="B18" s="74"/>
      <c r="C18" s="3159" t="s">
        <v>502</v>
      </c>
      <c r="D18" s="3233" t="s">
        <v>3636</v>
      </c>
      <c r="E18" s="1744" t="s">
        <v>3637</v>
      </c>
      <c r="F18" s="74"/>
      <c r="G18" s="75"/>
      <c r="H18" s="74"/>
      <c r="I18" s="95"/>
      <c r="J18" s="75"/>
      <c r="K18" s="75">
        <f>SUM(K19)</f>
        <v>40</v>
      </c>
      <c r="L18" s="280">
        <f>SUM(L19)</f>
        <v>1</v>
      </c>
      <c r="M18" s="2014"/>
      <c r="N18" s="99">
        <f>SUM(N19)</f>
        <v>0</v>
      </c>
      <c r="O18" s="3004">
        <f>IF(Q18&gt;0,N18,"NA")</f>
        <v>0</v>
      </c>
      <c r="P18" s="281">
        <f>SUM(P19)</f>
        <v>1053825005</v>
      </c>
      <c r="Q18" s="281">
        <f>SUM(Q19)</f>
        <v>1053825005</v>
      </c>
      <c r="R18" s="281">
        <f>SUM(R19)</f>
        <v>0</v>
      </c>
      <c r="S18" s="281">
        <f>SUM(S19)</f>
        <v>0</v>
      </c>
      <c r="T18" s="99">
        <f>IF(Q18=0,0,R18/Q18)</f>
        <v>0</v>
      </c>
      <c r="U18" s="99">
        <f>IF(R18=0,0,S18/R18)</f>
        <v>0</v>
      </c>
      <c r="V18" s="282"/>
      <c r="W18" s="287"/>
      <c r="X18" s="74"/>
      <c r="Y18" s="74"/>
    </row>
    <row r="19" spans="1:25" ht="66">
      <c r="A19" s="3229"/>
      <c r="B19" s="74"/>
      <c r="C19" s="3229"/>
      <c r="D19" s="3230"/>
      <c r="E19" s="1745" t="s">
        <v>3638</v>
      </c>
      <c r="F19" s="74"/>
      <c r="G19" s="95" t="s">
        <v>3639</v>
      </c>
      <c r="H19" s="74"/>
      <c r="I19" s="181" t="s">
        <v>3640</v>
      </c>
      <c r="J19" s="95" t="s">
        <v>3641</v>
      </c>
      <c r="K19" s="75">
        <v>40</v>
      </c>
      <c r="L19" s="280">
        <v>1</v>
      </c>
      <c r="M19" s="2015"/>
      <c r="N19" s="99">
        <v>0</v>
      </c>
      <c r="O19" s="3231"/>
      <c r="P19" s="171">
        <v>1053825005</v>
      </c>
      <c r="Q19" s="281">
        <v>1053825005</v>
      </c>
      <c r="R19" s="281">
        <v>0</v>
      </c>
      <c r="S19" s="281">
        <v>0</v>
      </c>
      <c r="T19" s="99">
        <f>IF(Q19=0,0,R19/Q19)</f>
        <v>0</v>
      </c>
      <c r="U19" s="99">
        <f>IF(R19=0,0,S19/R19)</f>
        <v>0</v>
      </c>
      <c r="V19" s="282"/>
      <c r="W19" s="287"/>
      <c r="X19" s="142"/>
      <c r="Y19" s="142" t="s">
        <v>3627</v>
      </c>
    </row>
    <row r="20" spans="1:25">
      <c r="A20" s="89"/>
      <c r="B20" s="97">
        <v>5304003</v>
      </c>
      <c r="C20" s="97" t="s">
        <v>116</v>
      </c>
      <c r="D20" s="90" t="s">
        <v>3452</v>
      </c>
      <c r="E20" s="146"/>
      <c r="F20" s="97"/>
      <c r="G20" s="89"/>
      <c r="H20" s="97"/>
      <c r="I20" s="96"/>
      <c r="J20" s="89"/>
      <c r="K20" s="89"/>
      <c r="L20" s="89"/>
      <c r="M20" s="2009"/>
      <c r="N20" s="2058"/>
      <c r="O20" s="2058"/>
      <c r="P20" s="98"/>
      <c r="Q20" s="98"/>
      <c r="R20" s="98"/>
      <c r="S20" s="98"/>
      <c r="T20" s="2066"/>
      <c r="U20" s="2066"/>
      <c r="V20" s="2010"/>
      <c r="W20" s="2010"/>
      <c r="X20" s="97"/>
      <c r="Y20" s="97"/>
    </row>
    <row r="21" spans="1:25" ht="27.6">
      <c r="A21" s="91"/>
      <c r="B21" s="116">
        <v>53040030011</v>
      </c>
      <c r="C21" s="117" t="s">
        <v>117</v>
      </c>
      <c r="D21" s="105" t="s">
        <v>3642</v>
      </c>
      <c r="E21" s="116"/>
      <c r="F21" s="72"/>
      <c r="G21" s="91"/>
      <c r="H21" s="72"/>
      <c r="I21" s="73"/>
      <c r="J21" s="91"/>
      <c r="K21" s="91"/>
      <c r="L21" s="2016"/>
      <c r="M21" s="2017"/>
      <c r="N21" s="220"/>
      <c r="O21" s="291"/>
      <c r="P21" s="78"/>
      <c r="Q21" s="78"/>
      <c r="R21" s="78"/>
      <c r="S21" s="78"/>
      <c r="T21" s="2060"/>
      <c r="U21" s="2060"/>
      <c r="V21" s="2013"/>
      <c r="W21" s="2013"/>
      <c r="X21" s="116"/>
      <c r="Y21" s="116"/>
    </row>
    <row r="22" spans="1:25">
      <c r="A22" s="2988">
        <v>4152</v>
      </c>
      <c r="B22" s="142"/>
      <c r="C22" s="3159" t="s">
        <v>502</v>
      </c>
      <c r="D22" s="3226" t="s">
        <v>3643</v>
      </c>
      <c r="E22" s="142" t="s">
        <v>3644</v>
      </c>
      <c r="F22" s="74"/>
      <c r="G22" s="75"/>
      <c r="H22" s="142"/>
      <c r="I22" s="95"/>
      <c r="J22" s="75"/>
      <c r="K22" s="76">
        <f>SUM(K23)</f>
        <v>4</v>
      </c>
      <c r="L22" s="2018">
        <f>SUM(L23)</f>
        <v>1</v>
      </c>
      <c r="M22" s="2019"/>
      <c r="N22" s="77">
        <f>SUM(N23)</f>
        <v>0</v>
      </c>
      <c r="O22" s="3004">
        <f>IF(Q22&gt;0,N22,"NA")</f>
        <v>0</v>
      </c>
      <c r="P22" s="281">
        <f>SUM(P23)</f>
        <v>93411614631</v>
      </c>
      <c r="Q22" s="281">
        <f>SUM(Q23)</f>
        <v>123065058491</v>
      </c>
      <c r="R22" s="281">
        <f>SUM(R23)</f>
        <v>0</v>
      </c>
      <c r="S22" s="281">
        <f>SUM(S23)</f>
        <v>0</v>
      </c>
      <c r="T22" s="99">
        <f>IF(Q22=0,0,R22/Q22)</f>
        <v>0</v>
      </c>
      <c r="U22" s="99">
        <f>IF(R22=0,0,S22/R22)</f>
        <v>0</v>
      </c>
      <c r="V22" s="282"/>
      <c r="W22" s="287"/>
      <c r="X22" s="142"/>
      <c r="Y22" s="142"/>
    </row>
    <row r="23" spans="1:25" ht="79.2">
      <c r="A23" s="3229"/>
      <c r="B23" s="1779"/>
      <c r="C23" s="3229"/>
      <c r="D23" s="3230"/>
      <c r="E23" s="142" t="s">
        <v>3645</v>
      </c>
      <c r="F23" s="142"/>
      <c r="G23" s="1796" t="s">
        <v>3642</v>
      </c>
      <c r="H23" s="142"/>
      <c r="I23" s="95" t="s">
        <v>3646</v>
      </c>
      <c r="J23" s="95" t="s">
        <v>243</v>
      </c>
      <c r="K23" s="76">
        <v>4</v>
      </c>
      <c r="L23" s="305">
        <v>1</v>
      </c>
      <c r="M23" s="2002">
        <v>0</v>
      </c>
      <c r="N23" s="99">
        <v>0</v>
      </c>
      <c r="O23" s="3231"/>
      <c r="P23" s="171">
        <v>93411614631</v>
      </c>
      <c r="Q23" s="281">
        <v>123065058491</v>
      </c>
      <c r="R23" s="281">
        <v>0</v>
      </c>
      <c r="S23" s="281">
        <v>0</v>
      </c>
      <c r="T23" s="99">
        <f>IF(Q23=0,0,R23/Q23)</f>
        <v>0</v>
      </c>
      <c r="U23" s="99">
        <f>IF(R23=0,0,S23/R23)</f>
        <v>0</v>
      </c>
      <c r="V23" s="282"/>
      <c r="W23" s="287"/>
      <c r="X23" s="2020"/>
      <c r="Y23" s="142" t="s">
        <v>3627</v>
      </c>
    </row>
    <row r="24" spans="1:25" ht="27.6">
      <c r="A24" s="116"/>
      <c r="B24" s="117">
        <v>53040030013</v>
      </c>
      <c r="C24" s="117" t="s">
        <v>117</v>
      </c>
      <c r="D24" s="105" t="s">
        <v>3647</v>
      </c>
      <c r="E24" s="116"/>
      <c r="F24" s="116"/>
      <c r="G24" s="73"/>
      <c r="H24" s="72"/>
      <c r="I24" s="73"/>
      <c r="J24" s="73"/>
      <c r="K24" s="158"/>
      <c r="L24" s="2012"/>
      <c r="M24" s="2021"/>
      <c r="N24" s="2060"/>
      <c r="O24" s="288"/>
      <c r="P24" s="78"/>
      <c r="Q24" s="78"/>
      <c r="R24" s="78"/>
      <c r="S24" s="78"/>
      <c r="T24" s="2060"/>
      <c r="U24" s="2060"/>
      <c r="V24" s="91"/>
      <c r="W24" s="91"/>
      <c r="X24" s="116"/>
      <c r="Y24" s="116"/>
    </row>
    <row r="25" spans="1:25">
      <c r="A25" s="2988">
        <v>4152</v>
      </c>
      <c r="B25" s="1779"/>
      <c r="C25" s="3159" t="s">
        <v>502</v>
      </c>
      <c r="D25" s="3226" t="s">
        <v>3648</v>
      </c>
      <c r="E25" s="142" t="s">
        <v>3649</v>
      </c>
      <c r="F25" s="142"/>
      <c r="G25" s="95"/>
      <c r="H25" s="75"/>
      <c r="I25" s="95"/>
      <c r="J25" s="95"/>
      <c r="K25" s="76">
        <v>1</v>
      </c>
      <c r="L25" s="305">
        <f>SUM(L26)</f>
        <v>1</v>
      </c>
      <c r="M25" s="2002">
        <v>0</v>
      </c>
      <c r="N25" s="99">
        <f>SUM(N26)</f>
        <v>0</v>
      </c>
      <c r="O25" s="2986">
        <f>IF(Q25&gt;0,N25,"NA")</f>
        <v>0</v>
      </c>
      <c r="P25" s="281">
        <f>SUM(P26)</f>
        <v>32696619776</v>
      </c>
      <c r="Q25" s="281">
        <f>SUM(Q26)</f>
        <v>32696619776</v>
      </c>
      <c r="R25" s="281">
        <f>SUM(R26)</f>
        <v>0</v>
      </c>
      <c r="S25" s="281">
        <f>SUM(S26)</f>
        <v>0</v>
      </c>
      <c r="T25" s="99">
        <f t="shared" ref="T25:U26" si="1">IF(Q25=0,0,R25/Q25)</f>
        <v>0</v>
      </c>
      <c r="U25" s="99">
        <f t="shared" si="1"/>
        <v>0</v>
      </c>
      <c r="V25" s="897"/>
      <c r="W25" s="897"/>
      <c r="X25" s="75"/>
      <c r="Y25" s="2988" t="s">
        <v>3627</v>
      </c>
    </row>
    <row r="26" spans="1:25" ht="79.2">
      <c r="A26" s="2988"/>
      <c r="B26" s="1779"/>
      <c r="C26" s="3159"/>
      <c r="D26" s="3226"/>
      <c r="E26" s="142" t="s">
        <v>3650</v>
      </c>
      <c r="F26" s="142"/>
      <c r="G26" s="1745" t="s">
        <v>3651</v>
      </c>
      <c r="H26" s="75"/>
      <c r="I26" s="95" t="s">
        <v>3652</v>
      </c>
      <c r="J26" s="95" t="s">
        <v>3651</v>
      </c>
      <c r="K26" s="76">
        <v>1</v>
      </c>
      <c r="L26" s="305">
        <v>1</v>
      </c>
      <c r="M26" s="2002">
        <v>0</v>
      </c>
      <c r="N26" s="99">
        <v>0</v>
      </c>
      <c r="O26" s="2986"/>
      <c r="P26" s="281">
        <v>32696619776</v>
      </c>
      <c r="Q26" s="281">
        <v>32696619776</v>
      </c>
      <c r="R26" s="281">
        <v>0</v>
      </c>
      <c r="S26" s="281">
        <v>0</v>
      </c>
      <c r="T26" s="99">
        <f t="shared" si="1"/>
        <v>0</v>
      </c>
      <c r="U26" s="99">
        <f t="shared" si="1"/>
        <v>0</v>
      </c>
      <c r="V26" s="2022"/>
      <c r="W26" s="2022"/>
      <c r="X26" s="115"/>
      <c r="Y26" s="2988"/>
    </row>
    <row r="27" spans="1:25">
      <c r="A27" s="89"/>
      <c r="B27" s="120">
        <v>5304005</v>
      </c>
      <c r="C27" s="97" t="s">
        <v>116</v>
      </c>
      <c r="D27" s="90" t="s">
        <v>3653</v>
      </c>
      <c r="E27" s="146"/>
      <c r="F27" s="97"/>
      <c r="G27" s="89"/>
      <c r="H27" s="97"/>
      <c r="I27" s="96"/>
      <c r="J27" s="89"/>
      <c r="K27" s="89"/>
      <c r="L27" s="2023"/>
      <c r="M27" s="2024"/>
      <c r="N27" s="2058"/>
      <c r="O27" s="2036"/>
      <c r="P27" s="98"/>
      <c r="Q27" s="98"/>
      <c r="R27" s="98"/>
      <c r="S27" s="98"/>
      <c r="T27" s="2066"/>
      <c r="U27" s="2066"/>
      <c r="V27" s="2010"/>
      <c r="W27" s="2010"/>
      <c r="X27" s="97"/>
      <c r="Y27" s="97"/>
    </row>
    <row r="28" spans="1:25">
      <c r="A28" s="91"/>
      <c r="B28" s="116">
        <v>53040050001</v>
      </c>
      <c r="C28" s="117" t="s">
        <v>117</v>
      </c>
      <c r="D28" s="105" t="s">
        <v>3654</v>
      </c>
      <c r="E28" s="116"/>
      <c r="F28" s="72"/>
      <c r="G28" s="91"/>
      <c r="H28" s="72"/>
      <c r="I28" s="73"/>
      <c r="J28" s="91"/>
      <c r="K28" s="91"/>
      <c r="L28" s="2016"/>
      <c r="M28" s="2017"/>
      <c r="N28" s="220"/>
      <c r="O28" s="291"/>
      <c r="P28" s="78"/>
      <c r="Q28" s="78"/>
      <c r="R28" s="78"/>
      <c r="S28" s="78"/>
      <c r="T28" s="2060"/>
      <c r="U28" s="2060"/>
      <c r="V28" s="2013"/>
      <c r="W28" s="2013"/>
      <c r="X28" s="72"/>
      <c r="Y28" s="72"/>
    </row>
    <row r="29" spans="1:25">
      <c r="A29" s="2993">
        <v>4152</v>
      </c>
      <c r="B29" s="142"/>
      <c r="C29" s="3159" t="s">
        <v>502</v>
      </c>
      <c r="D29" s="3233" t="s">
        <v>3655</v>
      </c>
      <c r="E29" s="1745" t="s">
        <v>3656</v>
      </c>
      <c r="F29" s="74"/>
      <c r="G29" s="75"/>
      <c r="H29" s="74"/>
      <c r="I29" s="95"/>
      <c r="J29" s="75"/>
      <c r="K29" s="75">
        <f>SUM(K30)</f>
        <v>1</v>
      </c>
      <c r="L29" s="152">
        <f>SUM(L30)</f>
        <v>1</v>
      </c>
      <c r="M29" s="2019"/>
      <c r="N29" s="99">
        <f>SUM(N30)</f>
        <v>0.22</v>
      </c>
      <c r="O29" s="3004">
        <f>IF(Q29&gt;0,N29,"NA")</f>
        <v>0.22</v>
      </c>
      <c r="P29" s="281">
        <f>SUM(P30)</f>
        <v>9971854000</v>
      </c>
      <c r="Q29" s="281">
        <f>SUM(Q30)</f>
        <v>9971854000</v>
      </c>
      <c r="R29" s="281">
        <f>SUM(R30)</f>
        <v>665727000</v>
      </c>
      <c r="S29" s="281">
        <f>SUM(S30)</f>
        <v>345011500</v>
      </c>
      <c r="T29" s="99">
        <f>IF(Q29=0,0,R29/Q29)</f>
        <v>6.6760604397136186E-2</v>
      </c>
      <c r="U29" s="99">
        <f>IF(R29=0,0,S29/R29)</f>
        <v>0.51824772016156773</v>
      </c>
      <c r="V29" s="2025"/>
      <c r="W29" s="2025"/>
      <c r="X29" s="74"/>
      <c r="Y29" s="74"/>
    </row>
    <row r="30" spans="1:25" ht="105.6">
      <c r="A30" s="3229"/>
      <c r="B30" s="1779"/>
      <c r="C30" s="3229"/>
      <c r="D30" s="3230"/>
      <c r="E30" s="1745" t="s">
        <v>3657</v>
      </c>
      <c r="F30" s="74"/>
      <c r="G30" s="1796" t="s">
        <v>3654</v>
      </c>
      <c r="H30" s="74"/>
      <c r="I30" s="95" t="s">
        <v>3658</v>
      </c>
      <c r="J30" s="95" t="s">
        <v>3629</v>
      </c>
      <c r="K30" s="75">
        <v>1</v>
      </c>
      <c r="L30" s="152">
        <v>1</v>
      </c>
      <c r="M30" s="2019">
        <v>0</v>
      </c>
      <c r="N30" s="77">
        <v>0.22</v>
      </c>
      <c r="O30" s="3231"/>
      <c r="P30" s="76">
        <v>9971854000</v>
      </c>
      <c r="Q30" s="76">
        <v>9971854000</v>
      </c>
      <c r="R30" s="2062">
        <v>665727000</v>
      </c>
      <c r="S30" s="76">
        <v>345011500</v>
      </c>
      <c r="T30" s="77">
        <f>IF(Q30=0,0,R30/Q30)</f>
        <v>6.6760604397136186E-2</v>
      </c>
      <c r="U30" s="77">
        <f>IF(R30=0,0,S30/R30)</f>
        <v>0.51824772016156773</v>
      </c>
      <c r="V30" s="2025">
        <v>45306</v>
      </c>
      <c r="W30" s="2025">
        <v>45641</v>
      </c>
      <c r="X30" s="115" t="s">
        <v>3659</v>
      </c>
      <c r="Y30" s="142" t="s">
        <v>3627</v>
      </c>
    </row>
    <row r="31" spans="1:25">
      <c r="A31" s="91"/>
      <c r="B31" s="117">
        <v>53040050002</v>
      </c>
      <c r="C31" s="117" t="s">
        <v>117</v>
      </c>
      <c r="D31" s="105" t="s">
        <v>3660</v>
      </c>
      <c r="E31" s="72"/>
      <c r="F31" s="158"/>
      <c r="G31" s="91"/>
      <c r="H31" s="2026"/>
      <c r="I31" s="91"/>
      <c r="J31" s="91"/>
      <c r="K31" s="91"/>
      <c r="L31" s="91"/>
      <c r="M31" s="2011"/>
      <c r="N31" s="220"/>
      <c r="O31" s="220"/>
      <c r="P31" s="91"/>
      <c r="Q31" s="91"/>
      <c r="R31" s="91"/>
      <c r="S31" s="91"/>
      <c r="T31" s="220"/>
      <c r="U31" s="220"/>
      <c r="V31" s="91"/>
      <c r="W31" s="91"/>
      <c r="X31" s="72"/>
      <c r="Y31" s="72"/>
    </row>
    <row r="32" spans="1:25">
      <c r="A32" s="2993">
        <v>4152</v>
      </c>
      <c r="B32" s="74"/>
      <c r="C32" s="3159" t="s">
        <v>502</v>
      </c>
      <c r="D32" s="3226" t="s">
        <v>3661</v>
      </c>
      <c r="E32" s="74" t="s">
        <v>3662</v>
      </c>
      <c r="F32" s="93"/>
      <c r="G32" s="95"/>
      <c r="H32" s="93"/>
      <c r="I32" s="95"/>
      <c r="J32" s="75"/>
      <c r="K32" s="76">
        <f>SUM(K33)</f>
        <v>1100</v>
      </c>
      <c r="L32" s="152">
        <f>SUM(L33)</f>
        <v>1</v>
      </c>
      <c r="M32" s="2019"/>
      <c r="N32" s="77">
        <f>SUM(N33)</f>
        <v>0.35</v>
      </c>
      <c r="O32" s="3004">
        <f>IF(Q32&gt;0,N32,"NA")</f>
        <v>0.35</v>
      </c>
      <c r="P32" s="76">
        <f>SUM(P33)</f>
        <v>4892967709</v>
      </c>
      <c r="Q32" s="76">
        <f>SUM(Q33)</f>
        <v>4892967709</v>
      </c>
      <c r="R32" s="76">
        <f>SUM(R33)</f>
        <v>184284500</v>
      </c>
      <c r="S32" s="76">
        <f>SUM(S33)</f>
        <v>93931000</v>
      </c>
      <c r="T32" s="77">
        <f t="shared" ref="T32:U33" si="2">IF(Q32=0,0,R32/Q32)</f>
        <v>3.7663134310294298E-2</v>
      </c>
      <c r="U32" s="77">
        <f t="shared" si="2"/>
        <v>0.50970645930612724</v>
      </c>
      <c r="V32" s="2025"/>
      <c r="W32" s="2025"/>
      <c r="X32" s="95"/>
      <c r="Y32" s="2988" t="s">
        <v>3627</v>
      </c>
    </row>
    <row r="33" spans="1:25" ht="39.6">
      <c r="A33" s="3229"/>
      <c r="B33" s="74"/>
      <c r="C33" s="3229"/>
      <c r="D33" s="3229"/>
      <c r="E33" s="74" t="s">
        <v>3663</v>
      </c>
      <c r="F33" s="74"/>
      <c r="G33" s="1796" t="s">
        <v>3660</v>
      </c>
      <c r="H33" s="93"/>
      <c r="I33" s="2049" t="s">
        <v>3664</v>
      </c>
      <c r="J33" s="95" t="s">
        <v>3665</v>
      </c>
      <c r="K33" s="76">
        <v>1100</v>
      </c>
      <c r="L33" s="152">
        <v>1</v>
      </c>
      <c r="M33" s="2019">
        <f>+H33</f>
        <v>0</v>
      </c>
      <c r="N33" s="77">
        <v>0.35</v>
      </c>
      <c r="O33" s="3231"/>
      <c r="P33" s="76">
        <v>4892967709</v>
      </c>
      <c r="Q33" s="76">
        <v>4892967709</v>
      </c>
      <c r="R33" s="76">
        <v>184284500</v>
      </c>
      <c r="S33" s="76">
        <v>93931000</v>
      </c>
      <c r="T33" s="77">
        <f t="shared" si="2"/>
        <v>3.7663134310294298E-2</v>
      </c>
      <c r="U33" s="77">
        <f t="shared" si="2"/>
        <v>0.50970645930612724</v>
      </c>
      <c r="V33" s="2025">
        <v>44941</v>
      </c>
      <c r="W33" s="2025">
        <v>45291</v>
      </c>
      <c r="X33" s="95" t="s">
        <v>3666</v>
      </c>
      <c r="Y33" s="3229"/>
    </row>
    <row r="34" spans="1:25">
      <c r="A34" s="91"/>
      <c r="B34" s="72">
        <v>53040050003</v>
      </c>
      <c r="C34" s="117" t="s">
        <v>117</v>
      </c>
      <c r="D34" s="105" t="s">
        <v>3667</v>
      </c>
      <c r="E34" s="72"/>
      <c r="F34" s="72"/>
      <c r="G34" s="91"/>
      <c r="H34" s="72"/>
      <c r="I34" s="73"/>
      <c r="J34" s="91"/>
      <c r="K34" s="91"/>
      <c r="L34" s="2016"/>
      <c r="M34" s="2017"/>
      <c r="N34" s="220"/>
      <c r="O34" s="291"/>
      <c r="P34" s="158"/>
      <c r="Q34" s="158"/>
      <c r="R34" s="158"/>
      <c r="S34" s="158"/>
      <c r="T34" s="220"/>
      <c r="U34" s="220"/>
      <c r="V34" s="2016"/>
      <c r="W34" s="2016"/>
      <c r="X34" s="72"/>
      <c r="Y34" s="72"/>
    </row>
    <row r="35" spans="1:25">
      <c r="A35" s="2993">
        <v>4152</v>
      </c>
      <c r="B35" s="74"/>
      <c r="C35" s="3159" t="s">
        <v>502</v>
      </c>
      <c r="D35" s="2988" t="s">
        <v>3668</v>
      </c>
      <c r="E35" s="74" t="s">
        <v>3669</v>
      </c>
      <c r="F35" s="93"/>
      <c r="G35" s="75"/>
      <c r="H35" s="93"/>
      <c r="I35" s="95"/>
      <c r="J35" s="75"/>
      <c r="K35" s="76">
        <f>SUM(K36)</f>
        <v>2000</v>
      </c>
      <c r="L35" s="152">
        <f>SUM(L36:L37)</f>
        <v>1</v>
      </c>
      <c r="M35" s="2019"/>
      <c r="N35" s="77">
        <f>SUM(N36:N37)</f>
        <v>0.46</v>
      </c>
      <c r="O35" s="2986">
        <f>IF(Q35&gt;0,N35,"NA")</f>
        <v>0.46</v>
      </c>
      <c r="P35" s="76">
        <f>SUM(P36:P37)</f>
        <v>19773368000</v>
      </c>
      <c r="Q35" s="76">
        <f>SUM(Q36:Q37)</f>
        <v>19773368000</v>
      </c>
      <c r="R35" s="76">
        <f>SUM(R36:R37)</f>
        <v>5050112716</v>
      </c>
      <c r="S35" s="76">
        <f>SUM(S36:S37)</f>
        <v>3563400783</v>
      </c>
      <c r="T35" s="77">
        <f t="shared" ref="T35:U37" si="3">IF(Q35=0,0,R35/Q35)</f>
        <v>0.25539972330459837</v>
      </c>
      <c r="U35" s="77">
        <f t="shared" si="3"/>
        <v>0.70560816825142725</v>
      </c>
      <c r="V35" s="2025"/>
      <c r="W35" s="2025"/>
      <c r="X35" s="74"/>
      <c r="Y35" s="74"/>
    </row>
    <row r="36" spans="1:25" ht="79.2">
      <c r="A36" s="2993"/>
      <c r="B36" s="74"/>
      <c r="C36" s="3159"/>
      <c r="D36" s="2988"/>
      <c r="E36" s="74" t="s">
        <v>3670</v>
      </c>
      <c r="F36" s="74"/>
      <c r="G36" s="95" t="s">
        <v>3667</v>
      </c>
      <c r="H36" s="74"/>
      <c r="I36" s="2049" t="s">
        <v>3671</v>
      </c>
      <c r="J36" s="95" t="s">
        <v>3672</v>
      </c>
      <c r="K36" s="76">
        <v>2000</v>
      </c>
      <c r="L36" s="152">
        <v>0.95</v>
      </c>
      <c r="M36" s="2019">
        <f>+H36</f>
        <v>0</v>
      </c>
      <c r="N36" s="77">
        <v>0.46</v>
      </c>
      <c r="O36" s="2986"/>
      <c r="P36" s="76">
        <v>19373368000</v>
      </c>
      <c r="Q36" s="76">
        <v>19373368000</v>
      </c>
      <c r="R36" s="76">
        <v>4728669916</v>
      </c>
      <c r="S36" s="76">
        <v>3563400783</v>
      </c>
      <c r="T36" s="77">
        <f t="shared" si="3"/>
        <v>0.24408094225020657</v>
      </c>
      <c r="U36" s="77">
        <f t="shared" si="3"/>
        <v>0.7535735939069933</v>
      </c>
      <c r="V36" s="2025">
        <v>45306</v>
      </c>
      <c r="W36" s="2025">
        <v>45657</v>
      </c>
      <c r="X36" s="95" t="s">
        <v>3673</v>
      </c>
      <c r="Y36" s="2988" t="s">
        <v>3674</v>
      </c>
    </row>
    <row r="37" spans="1:25" ht="52.8">
      <c r="A37" s="2993"/>
      <c r="B37" s="74"/>
      <c r="C37" s="3159"/>
      <c r="D37" s="2988"/>
      <c r="E37" s="74" t="s">
        <v>3675</v>
      </c>
      <c r="F37" s="74"/>
      <c r="G37" s="75"/>
      <c r="H37" s="74"/>
      <c r="I37" s="1796" t="s">
        <v>3676</v>
      </c>
      <c r="J37" s="95" t="s">
        <v>3677</v>
      </c>
      <c r="K37" s="76">
        <v>1</v>
      </c>
      <c r="L37" s="152">
        <v>0.05</v>
      </c>
      <c r="M37" s="2019"/>
      <c r="N37" s="77">
        <v>0</v>
      </c>
      <c r="O37" s="2986"/>
      <c r="P37" s="76">
        <v>400000000</v>
      </c>
      <c r="Q37" s="76">
        <v>400000000</v>
      </c>
      <c r="R37" s="76">
        <v>321442800</v>
      </c>
      <c r="S37" s="76">
        <v>0</v>
      </c>
      <c r="T37" s="77">
        <f t="shared" si="3"/>
        <v>0.80360699999999996</v>
      </c>
      <c r="U37" s="77">
        <f t="shared" si="3"/>
        <v>0</v>
      </c>
      <c r="V37" s="2027">
        <v>45373</v>
      </c>
      <c r="W37" s="2025">
        <v>45657</v>
      </c>
      <c r="X37" s="1796" t="s">
        <v>3678</v>
      </c>
      <c r="Y37" s="2988"/>
    </row>
    <row r="38" spans="1:25">
      <c r="A38" s="72"/>
      <c r="B38" s="72">
        <v>53040050005</v>
      </c>
      <c r="C38" s="117" t="s">
        <v>117</v>
      </c>
      <c r="D38" s="105" t="s">
        <v>3679</v>
      </c>
      <c r="E38" s="72"/>
      <c r="F38" s="72"/>
      <c r="G38" s="91"/>
      <c r="H38" s="72"/>
      <c r="I38" s="73"/>
      <c r="J38" s="73"/>
      <c r="K38" s="158"/>
      <c r="L38" s="291"/>
      <c r="M38" s="2017"/>
      <c r="N38" s="220"/>
      <c r="O38" s="291"/>
      <c r="P38" s="158"/>
      <c r="Q38" s="158"/>
      <c r="R38" s="158"/>
      <c r="S38" s="158"/>
      <c r="T38" s="220"/>
      <c r="U38" s="220"/>
      <c r="V38" s="2028"/>
      <c r="W38" s="2028"/>
      <c r="X38" s="116"/>
      <c r="Y38" s="116"/>
    </row>
    <row r="39" spans="1:25">
      <c r="A39" s="2988">
        <v>4152</v>
      </c>
      <c r="B39" s="74"/>
      <c r="C39" s="3159" t="s">
        <v>502</v>
      </c>
      <c r="D39" s="3226" t="s">
        <v>3680</v>
      </c>
      <c r="E39" s="74" t="s">
        <v>3681</v>
      </c>
      <c r="F39" s="74"/>
      <c r="G39" s="75"/>
      <c r="H39" s="74"/>
      <c r="I39" s="95"/>
      <c r="J39" s="95"/>
      <c r="K39" s="76">
        <f>SUM(K40)</f>
        <v>11</v>
      </c>
      <c r="L39" s="152">
        <f>SUM(L40:L40)</f>
        <v>1</v>
      </c>
      <c r="M39" s="2019"/>
      <c r="N39" s="77">
        <f>SUM(N40:N40)</f>
        <v>0</v>
      </c>
      <c r="O39" s="2986">
        <f>IF(Q39&gt;0,N39,"NA")</f>
        <v>0</v>
      </c>
      <c r="P39" s="76">
        <f>SUM(P40:P40)</f>
        <v>749608800</v>
      </c>
      <c r="Q39" s="76">
        <f>SUM(Q40:Q40)</f>
        <v>749608800</v>
      </c>
      <c r="R39" s="76">
        <f>SUM(R40:R40)</f>
        <v>9115000</v>
      </c>
      <c r="S39" s="76">
        <f>SUM(S40:S40)</f>
        <v>1823000</v>
      </c>
      <c r="T39" s="77">
        <f t="shared" ref="T39:U40" si="4">IF(Q39=0,0,R39/Q39)</f>
        <v>1.2159675820241172E-2</v>
      </c>
      <c r="U39" s="77">
        <f t="shared" si="4"/>
        <v>0.2</v>
      </c>
      <c r="V39" s="2025"/>
      <c r="W39" s="2025"/>
      <c r="X39" s="142"/>
      <c r="Y39" s="142"/>
    </row>
    <row r="40" spans="1:25" ht="66">
      <c r="A40" s="3229"/>
      <c r="B40" s="74"/>
      <c r="C40" s="3229"/>
      <c r="D40" s="3230"/>
      <c r="E40" s="74" t="s">
        <v>3682</v>
      </c>
      <c r="F40" s="74"/>
      <c r="G40" s="95" t="s">
        <v>3679</v>
      </c>
      <c r="H40" s="74"/>
      <c r="I40" s="2049" t="s">
        <v>3683</v>
      </c>
      <c r="J40" s="95" t="s">
        <v>3684</v>
      </c>
      <c r="K40" s="76">
        <v>11</v>
      </c>
      <c r="L40" s="152">
        <v>1</v>
      </c>
      <c r="M40" s="2019"/>
      <c r="N40" s="77">
        <v>0</v>
      </c>
      <c r="O40" s="2986"/>
      <c r="P40" s="76">
        <v>749608800</v>
      </c>
      <c r="Q40" s="76">
        <v>749608800</v>
      </c>
      <c r="R40" s="76">
        <v>9115000</v>
      </c>
      <c r="S40" s="76">
        <v>1823000</v>
      </c>
      <c r="T40" s="77">
        <f t="shared" si="4"/>
        <v>1.2159675820241172E-2</v>
      </c>
      <c r="U40" s="77">
        <f t="shared" si="4"/>
        <v>0.2</v>
      </c>
      <c r="V40" s="2025">
        <v>45324</v>
      </c>
      <c r="W40" s="2025">
        <v>45657</v>
      </c>
      <c r="X40" s="286" t="s">
        <v>3685</v>
      </c>
      <c r="Y40" s="142" t="s">
        <v>3627</v>
      </c>
    </row>
    <row r="41" spans="1:25" ht="27.6">
      <c r="A41" s="91"/>
      <c r="B41" s="116">
        <v>53040050006</v>
      </c>
      <c r="C41" s="117" t="s">
        <v>117</v>
      </c>
      <c r="D41" s="105" t="s">
        <v>3686</v>
      </c>
      <c r="E41" s="72"/>
      <c r="F41" s="72"/>
      <c r="G41" s="91"/>
      <c r="H41" s="72"/>
      <c r="I41" s="73"/>
      <c r="J41" s="91"/>
      <c r="K41" s="91"/>
      <c r="L41" s="2016"/>
      <c r="M41" s="2017"/>
      <c r="N41" s="220"/>
      <c r="O41" s="291"/>
      <c r="P41" s="158"/>
      <c r="Q41" s="158"/>
      <c r="R41" s="158"/>
      <c r="S41" s="158"/>
      <c r="T41" s="220"/>
      <c r="U41" s="220"/>
      <c r="V41" s="2016"/>
      <c r="W41" s="2016"/>
      <c r="X41" s="72"/>
      <c r="Y41" s="72"/>
    </row>
    <row r="42" spans="1:25">
      <c r="A42" s="2993">
        <v>4152</v>
      </c>
      <c r="B42" s="142"/>
      <c r="C42" s="3159" t="s">
        <v>502</v>
      </c>
      <c r="D42" s="3233" t="s">
        <v>3687</v>
      </c>
      <c r="E42" s="1744" t="s">
        <v>3688</v>
      </c>
      <c r="F42" s="74"/>
      <c r="G42" s="75"/>
      <c r="H42" s="74"/>
      <c r="I42" s="95"/>
      <c r="J42" s="95"/>
      <c r="K42" s="75">
        <f>SUM(K43)</f>
        <v>1</v>
      </c>
      <c r="L42" s="152">
        <f>SUM(L43)</f>
        <v>1</v>
      </c>
      <c r="M42" s="2019"/>
      <c r="N42" s="77">
        <f>SUM(N43:N44)</f>
        <v>0.15</v>
      </c>
      <c r="O42" s="3004">
        <f>IF(Q42&gt;0,N42,"NA")</f>
        <v>0.15</v>
      </c>
      <c r="P42" s="76">
        <f>SUM(P43)</f>
        <v>1736068800</v>
      </c>
      <c r="Q42" s="76">
        <f>SUM(Q43)</f>
        <v>1736068800</v>
      </c>
      <c r="R42" s="76">
        <f>SUM(R43)</f>
        <v>235400597</v>
      </c>
      <c r="S42" s="76">
        <f>SUM(S43)</f>
        <v>41550000</v>
      </c>
      <c r="T42" s="77">
        <f>IF(Q42=0,0,R42/Q42)</f>
        <v>0.13559404846167386</v>
      </c>
      <c r="U42" s="77">
        <f>IF(R42=0,0,S42/R42)</f>
        <v>0.17650762372535531</v>
      </c>
      <c r="V42" s="2025"/>
      <c r="W42" s="2025"/>
      <c r="X42" s="74"/>
      <c r="Y42" s="74"/>
    </row>
    <row r="43" spans="1:25" ht="105.6">
      <c r="A43" s="3229"/>
      <c r="B43" s="74"/>
      <c r="C43" s="3229"/>
      <c r="D43" s="3230"/>
      <c r="E43" s="1744" t="s">
        <v>3689</v>
      </c>
      <c r="F43" s="74"/>
      <c r="G43" s="1796" t="s">
        <v>3690</v>
      </c>
      <c r="H43" s="74"/>
      <c r="I43" s="95" t="s">
        <v>3691</v>
      </c>
      <c r="J43" s="95" t="s">
        <v>3692</v>
      </c>
      <c r="K43" s="75">
        <v>1</v>
      </c>
      <c r="L43" s="152">
        <v>1</v>
      </c>
      <c r="M43" s="2019"/>
      <c r="N43" s="77">
        <v>0.15</v>
      </c>
      <c r="O43" s="3231"/>
      <c r="P43" s="76">
        <v>1736068800</v>
      </c>
      <c r="Q43" s="76">
        <v>1736068800</v>
      </c>
      <c r="R43" s="76">
        <v>235400597</v>
      </c>
      <c r="S43" s="76">
        <v>41550000</v>
      </c>
      <c r="T43" s="77">
        <f>IF(Q43=0,0,R43/Q43)</f>
        <v>0.13559404846167386</v>
      </c>
      <c r="U43" s="77">
        <f>IF(R43=0,0,S43/R43)</f>
        <v>0.17650762372535531</v>
      </c>
      <c r="V43" s="2025">
        <v>45323</v>
      </c>
      <c r="W43" s="2025">
        <v>45657</v>
      </c>
      <c r="X43" s="115" t="s">
        <v>3693</v>
      </c>
      <c r="Y43" s="142" t="s">
        <v>3694</v>
      </c>
    </row>
    <row r="44" spans="1:25">
      <c r="A44" s="91"/>
      <c r="B44" s="72">
        <v>53040050007</v>
      </c>
      <c r="C44" s="72" t="s">
        <v>117</v>
      </c>
      <c r="D44" s="105" t="s">
        <v>3695</v>
      </c>
      <c r="E44" s="72"/>
      <c r="F44" s="72"/>
      <c r="G44" s="91"/>
      <c r="H44" s="72"/>
      <c r="I44" s="73"/>
      <c r="J44" s="91"/>
      <c r="K44" s="91"/>
      <c r="L44" s="2016"/>
      <c r="M44" s="2017"/>
      <c r="N44" s="220"/>
      <c r="O44" s="291"/>
      <c r="P44" s="158"/>
      <c r="Q44" s="158"/>
      <c r="R44" s="158"/>
      <c r="S44" s="158"/>
      <c r="T44" s="220"/>
      <c r="U44" s="220"/>
      <c r="V44" s="2016"/>
      <c r="W44" s="2016"/>
      <c r="X44" s="72"/>
      <c r="Y44" s="72"/>
    </row>
    <row r="45" spans="1:25">
      <c r="A45" s="2993">
        <v>4152</v>
      </c>
      <c r="B45" s="74"/>
      <c r="C45" s="3159" t="s">
        <v>502</v>
      </c>
      <c r="D45" s="2988" t="s">
        <v>3696</v>
      </c>
      <c r="E45" s="74" t="s">
        <v>3697</v>
      </c>
      <c r="F45" s="74"/>
      <c r="G45" s="95"/>
      <c r="H45" s="74"/>
      <c r="I45" s="95"/>
      <c r="J45" s="95"/>
      <c r="K45" s="76">
        <f>SUM(K46)</f>
        <v>200</v>
      </c>
      <c r="L45" s="152">
        <f>SUM(L46:L47)</f>
        <v>1</v>
      </c>
      <c r="M45" s="2019"/>
      <c r="N45" s="77">
        <f>SUM(N46:N47)</f>
        <v>0.06</v>
      </c>
      <c r="O45" s="3004">
        <f>IF(Q45&gt;0,N45,"NA")</f>
        <v>0.06</v>
      </c>
      <c r="P45" s="76">
        <f>SUM(P46:P47)</f>
        <v>312569719</v>
      </c>
      <c r="Q45" s="76">
        <f>SUM(Q46:Q47)</f>
        <v>312569719</v>
      </c>
      <c r="R45" s="76">
        <f>SUM(R46:R47)</f>
        <v>27721000</v>
      </c>
      <c r="S45" s="76">
        <f>SUM(S46:S47)</f>
        <v>11245000</v>
      </c>
      <c r="T45" s="77">
        <f t="shared" ref="T45:U47" si="5">IF(Q45=0,0,R45/Q45)</f>
        <v>8.8687413767038648E-2</v>
      </c>
      <c r="U45" s="77">
        <f t="shared" si="5"/>
        <v>0.40564914685617404</v>
      </c>
      <c r="V45" s="2025"/>
      <c r="W45" s="2025"/>
      <c r="X45" s="74"/>
      <c r="Y45" s="74"/>
    </row>
    <row r="46" spans="1:25" ht="66">
      <c r="A46" s="3229"/>
      <c r="B46" s="1744"/>
      <c r="C46" s="3229"/>
      <c r="D46" s="2988"/>
      <c r="E46" s="1744" t="s">
        <v>3698</v>
      </c>
      <c r="F46" s="1744"/>
      <c r="G46" s="1796" t="s">
        <v>3695</v>
      </c>
      <c r="H46" s="1744"/>
      <c r="I46" s="2049" t="s">
        <v>3699</v>
      </c>
      <c r="J46" s="1796" t="s">
        <v>120</v>
      </c>
      <c r="K46" s="2029">
        <v>200</v>
      </c>
      <c r="L46" s="2030">
        <v>0.5</v>
      </c>
      <c r="M46" s="1798">
        <f>+H46</f>
        <v>0</v>
      </c>
      <c r="N46" s="355">
        <v>0.06</v>
      </c>
      <c r="O46" s="3231"/>
      <c r="P46" s="2063">
        <v>132950400</v>
      </c>
      <c r="Q46" s="2063">
        <v>132950400</v>
      </c>
      <c r="R46" s="2063">
        <v>27721000</v>
      </c>
      <c r="S46" s="2063">
        <v>11245000</v>
      </c>
      <c r="T46" s="355">
        <f t="shared" si="5"/>
        <v>0.20850633018027775</v>
      </c>
      <c r="U46" s="355">
        <f t="shared" si="5"/>
        <v>0.40564914685617404</v>
      </c>
      <c r="V46" s="2027">
        <v>45337</v>
      </c>
      <c r="W46" s="2027">
        <v>45657</v>
      </c>
      <c r="X46" s="286" t="s">
        <v>3700</v>
      </c>
      <c r="Y46" s="3003" t="s">
        <v>3701</v>
      </c>
    </row>
    <row r="47" spans="1:25" ht="52.8">
      <c r="A47" s="3229"/>
      <c r="B47" s="1744"/>
      <c r="C47" s="3229"/>
      <c r="D47" s="2988"/>
      <c r="E47" s="1744" t="s">
        <v>3702</v>
      </c>
      <c r="F47" s="1744"/>
      <c r="G47" s="1796"/>
      <c r="H47" s="1744"/>
      <c r="I47" s="1796" t="s">
        <v>3703</v>
      </c>
      <c r="J47" s="1796" t="s">
        <v>3704</v>
      </c>
      <c r="K47" s="2029">
        <v>2</v>
      </c>
      <c r="L47" s="2030">
        <v>0.5</v>
      </c>
      <c r="M47" s="1798"/>
      <c r="N47" s="355">
        <v>0</v>
      </c>
      <c r="O47" s="3231"/>
      <c r="P47" s="2064">
        <v>179619319</v>
      </c>
      <c r="Q47" s="2063">
        <v>179619319</v>
      </c>
      <c r="R47" s="2063">
        <v>0</v>
      </c>
      <c r="S47" s="2063">
        <v>0</v>
      </c>
      <c r="T47" s="355">
        <f t="shared" si="5"/>
        <v>0</v>
      </c>
      <c r="U47" s="355">
        <f t="shared" si="5"/>
        <v>0</v>
      </c>
      <c r="V47" s="2031"/>
      <c r="W47" s="2031"/>
      <c r="X47" s="286"/>
      <c r="Y47" s="3003"/>
    </row>
    <row r="48" spans="1:25" ht="27.6">
      <c r="A48" s="91"/>
      <c r="B48" s="72">
        <v>53040050009</v>
      </c>
      <c r="C48" s="72" t="s">
        <v>117</v>
      </c>
      <c r="D48" s="105" t="s">
        <v>3705</v>
      </c>
      <c r="E48" s="72"/>
      <c r="F48" s="2026"/>
      <c r="G48" s="91"/>
      <c r="H48" s="72"/>
      <c r="I48" s="73"/>
      <c r="J48" s="73"/>
      <c r="K48" s="91"/>
      <c r="L48" s="291"/>
      <c r="M48" s="2017"/>
      <c r="N48" s="220"/>
      <c r="O48" s="291"/>
      <c r="P48" s="158"/>
      <c r="Q48" s="158"/>
      <c r="R48" s="158"/>
      <c r="S48" s="158"/>
      <c r="T48" s="220"/>
      <c r="U48" s="220"/>
      <c r="V48" s="2032"/>
      <c r="W48" s="2016"/>
      <c r="X48" s="72"/>
      <c r="Y48" s="72"/>
    </row>
    <row r="49" spans="1:25">
      <c r="A49" s="2993">
        <v>4152</v>
      </c>
      <c r="B49" s="74"/>
      <c r="C49" s="3159" t="s">
        <v>502</v>
      </c>
      <c r="D49" s="3226" t="s">
        <v>3706</v>
      </c>
      <c r="E49" s="1744" t="s">
        <v>3707</v>
      </c>
      <c r="F49" s="93"/>
      <c r="G49" s="75"/>
      <c r="H49" s="74"/>
      <c r="I49" s="95"/>
      <c r="J49" s="95"/>
      <c r="K49" s="76">
        <f>+K50</f>
        <v>170000</v>
      </c>
      <c r="L49" s="152">
        <f>SUM(L50)</f>
        <v>1</v>
      </c>
      <c r="M49" s="2019"/>
      <c r="N49" s="77">
        <f>SUM(N50)</f>
        <v>0.08</v>
      </c>
      <c r="O49" s="3004">
        <f>IF(Q49&gt;0,N49,"NA")</f>
        <v>0.08</v>
      </c>
      <c r="P49" s="76">
        <f>SUM(P50)</f>
        <v>1005352000</v>
      </c>
      <c r="Q49" s="76">
        <f>SUM(Q50)</f>
        <v>1005352000</v>
      </c>
      <c r="R49" s="76">
        <f>SUM(R50)</f>
        <v>105501000</v>
      </c>
      <c r="S49" s="76">
        <f>SUM(S50)</f>
        <v>55412000</v>
      </c>
      <c r="T49" s="77">
        <f>IF(Q49=0,0,R49/Q49)</f>
        <v>0.10493936452108316</v>
      </c>
      <c r="U49" s="77">
        <f>IF(R49=0,0,S49/R49)</f>
        <v>0.52522724903081486</v>
      </c>
      <c r="V49" s="2025"/>
      <c r="W49" s="2025"/>
      <c r="X49" s="75"/>
      <c r="Y49" s="2988" t="s">
        <v>3701</v>
      </c>
    </row>
    <row r="50" spans="1:25" ht="66">
      <c r="A50" s="3229"/>
      <c r="B50" s="74"/>
      <c r="C50" s="3229"/>
      <c r="D50" s="3229"/>
      <c r="E50" s="74" t="s">
        <v>3708</v>
      </c>
      <c r="F50" s="74"/>
      <c r="G50" s="95" t="s">
        <v>3709</v>
      </c>
      <c r="H50" s="74"/>
      <c r="I50" s="2049" t="s">
        <v>3710</v>
      </c>
      <c r="J50" s="95" t="s">
        <v>120</v>
      </c>
      <c r="K50" s="76">
        <v>170000</v>
      </c>
      <c r="L50" s="152">
        <v>1</v>
      </c>
      <c r="M50" s="2019">
        <v>14334</v>
      </c>
      <c r="N50" s="77">
        <v>0.08</v>
      </c>
      <c r="O50" s="3004"/>
      <c r="P50" s="2064">
        <v>1005352000</v>
      </c>
      <c r="Q50" s="76">
        <v>1005352000</v>
      </c>
      <c r="R50" s="76">
        <v>105501000</v>
      </c>
      <c r="S50" s="76">
        <v>55412000</v>
      </c>
      <c r="T50" s="77">
        <f>IF(Q50=0,0,R50/Q50)</f>
        <v>0.10493936452108316</v>
      </c>
      <c r="U50" s="77">
        <f>IF(R50=0,0,S50/R50)</f>
        <v>0.52522724903081486</v>
      </c>
      <c r="V50" s="2025">
        <v>45306</v>
      </c>
      <c r="W50" s="2025">
        <v>45657</v>
      </c>
      <c r="X50" s="95" t="s">
        <v>3711</v>
      </c>
      <c r="Y50" s="3232"/>
    </row>
    <row r="51" spans="1:25" ht="41.4">
      <c r="A51" s="72"/>
      <c r="B51" s="72">
        <v>53040050010</v>
      </c>
      <c r="C51" s="72" t="s">
        <v>117</v>
      </c>
      <c r="D51" s="105" t="s">
        <v>3712</v>
      </c>
      <c r="E51" s="72"/>
      <c r="F51" s="72"/>
      <c r="G51" s="91"/>
      <c r="H51" s="72"/>
      <c r="I51" s="73"/>
      <c r="J51" s="73"/>
      <c r="K51" s="158"/>
      <c r="L51" s="291"/>
      <c r="M51" s="2017"/>
      <c r="N51" s="220"/>
      <c r="O51" s="291"/>
      <c r="P51" s="158"/>
      <c r="Q51" s="158"/>
      <c r="R51" s="158"/>
      <c r="S51" s="158"/>
      <c r="T51" s="220"/>
      <c r="U51" s="220"/>
      <c r="V51" s="2028"/>
      <c r="W51" s="2028"/>
      <c r="X51" s="72"/>
      <c r="Y51" s="72"/>
    </row>
    <row r="52" spans="1:25">
      <c r="A52" s="2988">
        <v>4152</v>
      </c>
      <c r="B52" s="74"/>
      <c r="C52" s="3159" t="s">
        <v>502</v>
      </c>
      <c r="D52" s="3226" t="s">
        <v>3713</v>
      </c>
      <c r="E52" s="74" t="s">
        <v>3714</v>
      </c>
      <c r="F52" s="74"/>
      <c r="G52" s="75"/>
      <c r="H52" s="74"/>
      <c r="I52" s="95"/>
      <c r="J52" s="95"/>
      <c r="K52" s="76">
        <f>SUM(K53)</f>
        <v>6</v>
      </c>
      <c r="L52" s="152">
        <f>SUM(L53:L54)</f>
        <v>1</v>
      </c>
      <c r="M52" s="2019"/>
      <c r="N52" s="77">
        <f>SUM(N53:N54)</f>
        <v>0.53</v>
      </c>
      <c r="O52" s="3004">
        <f>IF(Q52&gt;0,N52,"NA")</f>
        <v>0.53</v>
      </c>
      <c r="P52" s="76">
        <f>SUM(P53:P54)</f>
        <v>2445028000</v>
      </c>
      <c r="Q52" s="76">
        <f>SUM(Q53:Q54)</f>
        <v>2445028000</v>
      </c>
      <c r="R52" s="76">
        <f>SUM(R53:R54)</f>
        <v>111840000</v>
      </c>
      <c r="S52" s="76">
        <f>SUM(S53:S54)</f>
        <v>52814000</v>
      </c>
      <c r="T52" s="77">
        <f t="shared" ref="T52:U54" si="6">IF(Q52=0,0,R52/Q52)</f>
        <v>4.574180745578374E-2</v>
      </c>
      <c r="U52" s="77">
        <f t="shared" si="6"/>
        <v>0.47222818311874104</v>
      </c>
      <c r="V52" s="2025"/>
      <c r="W52" s="2025"/>
      <c r="X52" s="75"/>
      <c r="Y52" s="2988" t="s">
        <v>3701</v>
      </c>
    </row>
    <row r="53" spans="1:25" ht="79.2">
      <c r="A53" s="3229"/>
      <c r="B53" s="74"/>
      <c r="C53" s="3229"/>
      <c r="D53" s="3230"/>
      <c r="E53" s="1744" t="s">
        <v>3715</v>
      </c>
      <c r="F53" s="74"/>
      <c r="G53" s="95" t="s">
        <v>3716</v>
      </c>
      <c r="H53" s="74"/>
      <c r="I53" s="2049" t="s">
        <v>3717</v>
      </c>
      <c r="J53" s="95" t="s">
        <v>3718</v>
      </c>
      <c r="K53" s="76">
        <v>6</v>
      </c>
      <c r="L53" s="152">
        <v>0.8</v>
      </c>
      <c r="M53" s="2019">
        <f>+H53</f>
        <v>0</v>
      </c>
      <c r="N53" s="77">
        <v>0.53</v>
      </c>
      <c r="O53" s="3231"/>
      <c r="P53" s="76">
        <v>2045028000</v>
      </c>
      <c r="Q53" s="76">
        <v>2045028000</v>
      </c>
      <c r="R53" s="76">
        <v>111840000</v>
      </c>
      <c r="S53" s="76">
        <v>52814000</v>
      </c>
      <c r="T53" s="77">
        <f t="shared" si="6"/>
        <v>5.4688737758113823E-2</v>
      </c>
      <c r="U53" s="77">
        <f t="shared" si="6"/>
        <v>0.47222818311874104</v>
      </c>
      <c r="V53" s="2025">
        <v>44972</v>
      </c>
      <c r="W53" s="2025">
        <v>45291</v>
      </c>
      <c r="X53" s="1796" t="s">
        <v>3719</v>
      </c>
      <c r="Y53" s="3232"/>
    </row>
    <row r="54" spans="1:25" ht="39.6">
      <c r="A54" s="3229"/>
      <c r="B54" s="74"/>
      <c r="C54" s="3229"/>
      <c r="D54" s="3230"/>
      <c r="E54" s="1744" t="s">
        <v>3720</v>
      </c>
      <c r="F54" s="74"/>
      <c r="G54" s="95"/>
      <c r="H54" s="74"/>
      <c r="I54" s="95" t="s">
        <v>3721</v>
      </c>
      <c r="J54" s="95" t="s">
        <v>121</v>
      </c>
      <c r="K54" s="76">
        <v>1</v>
      </c>
      <c r="L54" s="152">
        <v>0.2</v>
      </c>
      <c r="M54" s="2019"/>
      <c r="N54" s="77">
        <v>0</v>
      </c>
      <c r="O54" s="3231"/>
      <c r="P54" s="76">
        <v>400000000</v>
      </c>
      <c r="Q54" s="2064">
        <v>400000000</v>
      </c>
      <c r="R54" s="76">
        <v>0</v>
      </c>
      <c r="S54" s="76">
        <v>0</v>
      </c>
      <c r="T54" s="77">
        <f t="shared" si="6"/>
        <v>0</v>
      </c>
      <c r="U54" s="77">
        <f t="shared" si="6"/>
        <v>0</v>
      </c>
      <c r="V54" s="2025"/>
      <c r="W54" s="2025"/>
      <c r="X54" s="95"/>
      <c r="Y54" s="3232"/>
    </row>
    <row r="55" spans="1:25" ht="27.6">
      <c r="A55" s="72"/>
      <c r="B55" s="72">
        <v>53040050011</v>
      </c>
      <c r="C55" s="72" t="s">
        <v>117</v>
      </c>
      <c r="D55" s="105" t="s">
        <v>3722</v>
      </c>
      <c r="E55" s="72"/>
      <c r="F55" s="72"/>
      <c r="G55" s="91"/>
      <c r="H55" s="72"/>
      <c r="I55" s="91"/>
      <c r="J55" s="91"/>
      <c r="K55" s="91"/>
      <c r="L55" s="91"/>
      <c r="M55" s="2011"/>
      <c r="N55" s="220"/>
      <c r="O55" s="220"/>
      <c r="P55" s="158"/>
      <c r="Q55" s="158"/>
      <c r="R55" s="158"/>
      <c r="S55" s="158"/>
      <c r="T55" s="220"/>
      <c r="U55" s="220"/>
      <c r="V55" s="91"/>
      <c r="W55" s="91"/>
      <c r="X55" s="72"/>
      <c r="Y55" s="72"/>
    </row>
    <row r="56" spans="1:25">
      <c r="A56" s="2988">
        <v>4152</v>
      </c>
      <c r="B56" s="74"/>
      <c r="C56" s="3159" t="s">
        <v>502</v>
      </c>
      <c r="D56" s="3226" t="s">
        <v>3723</v>
      </c>
      <c r="E56" s="74" t="s">
        <v>3724</v>
      </c>
      <c r="F56" s="74"/>
      <c r="G56" s="75"/>
      <c r="H56" s="74"/>
      <c r="I56" s="95"/>
      <c r="J56" s="95"/>
      <c r="K56" s="76">
        <f>SUM(K57)</f>
        <v>50</v>
      </c>
      <c r="L56" s="152">
        <f>SUM(L57)</f>
        <v>1</v>
      </c>
      <c r="M56" s="2019"/>
      <c r="N56" s="77">
        <f>SUM(N57)</f>
        <v>0.34</v>
      </c>
      <c r="O56" s="3004">
        <f>IF(Q56&gt;0,N56,"NA")</f>
        <v>0.34</v>
      </c>
      <c r="P56" s="76">
        <f>SUM(P57)</f>
        <v>329511600</v>
      </c>
      <c r="Q56" s="76">
        <f>SUM(Q57)</f>
        <v>329511600</v>
      </c>
      <c r="R56" s="76">
        <f>SUM(R57)</f>
        <v>62861000</v>
      </c>
      <c r="S56" s="76">
        <f>SUM(S57)</f>
        <v>40005000</v>
      </c>
      <c r="T56" s="77">
        <f>IF(Q56=0,0,R56/Q56)</f>
        <v>0.1907702187115719</v>
      </c>
      <c r="U56" s="77">
        <f>IF(R56=0,0,S56/R56)</f>
        <v>0.63640412974658378</v>
      </c>
      <c r="V56" s="2025"/>
      <c r="W56" s="2025"/>
      <c r="X56" s="74"/>
      <c r="Y56" s="74"/>
    </row>
    <row r="57" spans="1:25" ht="92.4">
      <c r="A57" s="3229"/>
      <c r="B57" s="74"/>
      <c r="C57" s="3229"/>
      <c r="D57" s="3230"/>
      <c r="E57" s="74" t="s">
        <v>3725</v>
      </c>
      <c r="F57" s="74"/>
      <c r="G57" s="95" t="s">
        <v>3726</v>
      </c>
      <c r="H57" s="74"/>
      <c r="I57" s="2049" t="s">
        <v>3727</v>
      </c>
      <c r="J57" s="95" t="s">
        <v>3718</v>
      </c>
      <c r="K57" s="76">
        <v>50</v>
      </c>
      <c r="L57" s="152">
        <v>1</v>
      </c>
      <c r="M57" s="2019">
        <f>+H57</f>
        <v>0</v>
      </c>
      <c r="N57" s="77">
        <v>0.34</v>
      </c>
      <c r="O57" s="3231"/>
      <c r="P57" s="76">
        <v>329511600</v>
      </c>
      <c r="Q57" s="76">
        <v>329511600</v>
      </c>
      <c r="R57" s="76">
        <v>62861000</v>
      </c>
      <c r="S57" s="76">
        <v>40005000</v>
      </c>
      <c r="T57" s="77">
        <f>IF(Q57=0,0,R57/Q57)</f>
        <v>0.1907702187115719</v>
      </c>
      <c r="U57" s="77">
        <f>IF(R57=0,0,S57/R57)</f>
        <v>0.63640412974658378</v>
      </c>
      <c r="V57" s="2025">
        <v>45306</v>
      </c>
      <c r="W57" s="2025">
        <v>45641</v>
      </c>
      <c r="X57" s="115" t="s">
        <v>3728</v>
      </c>
      <c r="Y57" s="142" t="s">
        <v>3729</v>
      </c>
    </row>
    <row r="58" spans="1:25" ht="15.6">
      <c r="A58" s="84"/>
      <c r="B58" s="85">
        <v>54</v>
      </c>
      <c r="C58" s="85" t="s">
        <v>114</v>
      </c>
      <c r="D58" s="1985" t="s">
        <v>122</v>
      </c>
      <c r="E58" s="85"/>
      <c r="F58" s="85"/>
      <c r="G58" s="84"/>
      <c r="H58" s="85"/>
      <c r="I58" s="84"/>
      <c r="J58" s="84"/>
      <c r="K58" s="84"/>
      <c r="L58" s="84"/>
      <c r="M58" s="2007"/>
      <c r="N58" s="2057"/>
      <c r="O58" s="2057"/>
      <c r="P58" s="2003"/>
      <c r="Q58" s="2003"/>
      <c r="R58" s="2003"/>
      <c r="S58" s="2003"/>
      <c r="T58" s="2057"/>
      <c r="U58" s="2057"/>
      <c r="V58" s="2033"/>
      <c r="W58" s="2033"/>
      <c r="X58" s="85"/>
      <c r="Y58" s="85"/>
    </row>
    <row r="59" spans="1:25" ht="15.6">
      <c r="A59" s="84"/>
      <c r="B59" s="85">
        <v>5402</v>
      </c>
      <c r="C59" s="85" t="s">
        <v>115</v>
      </c>
      <c r="D59" s="86" t="s">
        <v>118</v>
      </c>
      <c r="E59" s="85"/>
      <c r="F59" s="85"/>
      <c r="G59" s="84"/>
      <c r="H59" s="85"/>
      <c r="I59" s="88"/>
      <c r="J59" s="88"/>
      <c r="K59" s="2003"/>
      <c r="L59" s="2034"/>
      <c r="M59" s="2035"/>
      <c r="N59" s="2057"/>
      <c r="O59" s="2034"/>
      <c r="P59" s="2003"/>
      <c r="Q59" s="2003"/>
      <c r="R59" s="2003"/>
      <c r="S59" s="2003"/>
      <c r="T59" s="2057"/>
      <c r="U59" s="2057"/>
      <c r="V59" s="2033"/>
      <c r="W59" s="2033"/>
      <c r="X59" s="85"/>
      <c r="Y59" s="85"/>
    </row>
    <row r="60" spans="1:25">
      <c r="A60" s="89"/>
      <c r="B60" s="97">
        <v>5402001</v>
      </c>
      <c r="C60" s="97" t="s">
        <v>116</v>
      </c>
      <c r="D60" s="90" t="s">
        <v>119</v>
      </c>
      <c r="E60" s="97"/>
      <c r="F60" s="97"/>
      <c r="G60" s="89"/>
      <c r="H60" s="97"/>
      <c r="I60" s="96"/>
      <c r="J60" s="96"/>
      <c r="K60" s="370"/>
      <c r="L60" s="2036"/>
      <c r="M60" s="2024"/>
      <c r="N60" s="2058"/>
      <c r="O60" s="2036"/>
      <c r="P60" s="370"/>
      <c r="Q60" s="370"/>
      <c r="R60" s="370"/>
      <c r="S60" s="370"/>
      <c r="T60" s="2058"/>
      <c r="U60" s="2058"/>
      <c r="V60" s="2023"/>
      <c r="W60" s="2023"/>
      <c r="X60" s="97"/>
      <c r="Y60" s="97"/>
    </row>
    <row r="61" spans="1:25" ht="27.6">
      <c r="A61" s="91"/>
      <c r="B61" s="72">
        <v>54020010043</v>
      </c>
      <c r="C61" s="117" t="s">
        <v>117</v>
      </c>
      <c r="D61" s="105" t="s">
        <v>3730</v>
      </c>
      <c r="E61" s="72"/>
      <c r="F61" s="72"/>
      <c r="G61" s="91"/>
      <c r="H61" s="72"/>
      <c r="I61" s="73"/>
      <c r="J61" s="73"/>
      <c r="K61" s="158"/>
      <c r="L61" s="291"/>
      <c r="M61" s="2017"/>
      <c r="N61" s="220"/>
      <c r="O61" s="291"/>
      <c r="P61" s="158"/>
      <c r="Q61" s="158"/>
      <c r="R61" s="158"/>
      <c r="S61" s="158"/>
      <c r="T61" s="220"/>
      <c r="U61" s="220"/>
      <c r="V61" s="2016"/>
      <c r="W61" s="2016"/>
      <c r="X61" s="72"/>
      <c r="Y61" s="72"/>
    </row>
    <row r="62" spans="1:25">
      <c r="A62" s="2993">
        <v>4152</v>
      </c>
      <c r="B62" s="74"/>
      <c r="C62" s="3159" t="s">
        <v>502</v>
      </c>
      <c r="D62" s="3003" t="s">
        <v>3731</v>
      </c>
      <c r="E62" s="1744" t="s">
        <v>3732</v>
      </c>
      <c r="F62" s="2037"/>
      <c r="G62" s="95"/>
      <c r="H62" s="74"/>
      <c r="I62" s="95"/>
      <c r="J62" s="75"/>
      <c r="K62" s="76">
        <f>SUM(K63)</f>
        <v>1</v>
      </c>
      <c r="L62" s="152">
        <f>SUM(L63:L63)</f>
        <v>1</v>
      </c>
      <c r="M62" s="2019"/>
      <c r="N62" s="77">
        <f>SUM(N63:N63)</f>
        <v>0.14000000000000001</v>
      </c>
      <c r="O62" s="3004">
        <f>IF(Q62&gt;0,N62,"NA")</f>
        <v>0.14000000000000001</v>
      </c>
      <c r="P62" s="76">
        <f>SUM(P63:P63)</f>
        <v>4904974800</v>
      </c>
      <c r="Q62" s="76">
        <f>SUM(Q63:Q63)</f>
        <v>4904974800</v>
      </c>
      <c r="R62" s="76">
        <f>SUM(R63:R63)</f>
        <v>1190899000</v>
      </c>
      <c r="S62" s="76">
        <f>SUM(S63:S63)</f>
        <v>545250500</v>
      </c>
      <c r="T62" s="77">
        <f t="shared" ref="T62:U63" si="7">IF(Q62=0,0,R62/Q62)</f>
        <v>0.24279411180664986</v>
      </c>
      <c r="U62" s="77">
        <f t="shared" si="7"/>
        <v>0.45784781077152636</v>
      </c>
      <c r="V62" s="2025"/>
      <c r="W62" s="2025"/>
      <c r="X62" s="95"/>
      <c r="Y62" s="2988" t="s">
        <v>3694</v>
      </c>
    </row>
    <row r="63" spans="1:25" ht="105.6">
      <c r="A63" s="3229"/>
      <c r="B63" s="74"/>
      <c r="C63" s="3229"/>
      <c r="D63" s="3003"/>
      <c r="E63" s="1744" t="s">
        <v>3733</v>
      </c>
      <c r="F63" s="74"/>
      <c r="G63" s="95" t="s">
        <v>3730</v>
      </c>
      <c r="H63" s="74"/>
      <c r="I63" s="95" t="s">
        <v>3734</v>
      </c>
      <c r="J63" s="95" t="s">
        <v>124</v>
      </c>
      <c r="K63" s="76">
        <v>1</v>
      </c>
      <c r="L63" s="152">
        <v>1</v>
      </c>
      <c r="M63" s="2019"/>
      <c r="N63" s="77">
        <v>0.14000000000000001</v>
      </c>
      <c r="O63" s="3231"/>
      <c r="P63" s="76">
        <v>4904974800</v>
      </c>
      <c r="Q63" s="76">
        <v>4904974800</v>
      </c>
      <c r="R63" s="76">
        <v>1190899000</v>
      </c>
      <c r="S63" s="76">
        <v>545250500</v>
      </c>
      <c r="T63" s="77">
        <f t="shared" si="7"/>
        <v>0.24279411180664986</v>
      </c>
      <c r="U63" s="77">
        <f t="shared" si="7"/>
        <v>0.45784781077152636</v>
      </c>
      <c r="V63" s="2025">
        <v>45306</v>
      </c>
      <c r="W63" s="2025">
        <v>45657</v>
      </c>
      <c r="X63" s="95" t="s">
        <v>3735</v>
      </c>
      <c r="Y63" s="2988"/>
    </row>
    <row r="64" spans="1:25">
      <c r="A64" s="89"/>
      <c r="B64" s="97">
        <v>5402004</v>
      </c>
      <c r="C64" s="97" t="s">
        <v>116</v>
      </c>
      <c r="D64" s="90" t="s">
        <v>635</v>
      </c>
      <c r="E64" s="97"/>
      <c r="F64" s="97"/>
      <c r="G64" s="89"/>
      <c r="H64" s="97"/>
      <c r="I64" s="96"/>
      <c r="J64" s="89"/>
      <c r="K64" s="89"/>
      <c r="L64" s="2023"/>
      <c r="M64" s="2024"/>
      <c r="N64" s="2058"/>
      <c r="O64" s="2036"/>
      <c r="P64" s="370"/>
      <c r="Q64" s="370"/>
      <c r="R64" s="370"/>
      <c r="S64" s="370"/>
      <c r="T64" s="2058"/>
      <c r="U64" s="2058"/>
      <c r="V64" s="2023"/>
      <c r="W64" s="2023"/>
      <c r="X64" s="97"/>
      <c r="Y64" s="97"/>
    </row>
    <row r="65" spans="1:25">
      <c r="A65" s="91"/>
      <c r="B65" s="116">
        <v>54020040009</v>
      </c>
      <c r="C65" s="117" t="s">
        <v>117</v>
      </c>
      <c r="D65" s="105" t="s">
        <v>3736</v>
      </c>
      <c r="E65" s="72"/>
      <c r="F65" s="2038"/>
      <c r="G65" s="91"/>
      <c r="H65" s="72"/>
      <c r="I65" s="73"/>
      <c r="J65" s="91"/>
      <c r="K65" s="91"/>
      <c r="L65" s="2016"/>
      <c r="M65" s="2017"/>
      <c r="N65" s="220"/>
      <c r="O65" s="291"/>
      <c r="P65" s="158"/>
      <c r="Q65" s="158"/>
      <c r="R65" s="158"/>
      <c r="S65" s="158"/>
      <c r="T65" s="220"/>
      <c r="U65" s="220"/>
      <c r="V65" s="2016"/>
      <c r="W65" s="2016"/>
      <c r="X65" s="72"/>
      <c r="Y65" s="72"/>
    </row>
    <row r="66" spans="1:25">
      <c r="A66" s="2993">
        <v>4152</v>
      </c>
      <c r="B66" s="142"/>
      <c r="C66" s="3159" t="s">
        <v>502</v>
      </c>
      <c r="D66" s="3226" t="s">
        <v>3737</v>
      </c>
      <c r="E66" s="74" t="s">
        <v>3738</v>
      </c>
      <c r="F66" s="2039"/>
      <c r="G66" s="75"/>
      <c r="H66" s="74"/>
      <c r="I66" s="95"/>
      <c r="J66" s="75"/>
      <c r="K66" s="2040">
        <f>SUM(K67)</f>
        <v>0.26</v>
      </c>
      <c r="L66" s="152">
        <f>SUM(L67)</f>
        <v>1</v>
      </c>
      <c r="M66" s="2019"/>
      <c r="N66" s="77">
        <f>SUM(N67)</f>
        <v>0.09</v>
      </c>
      <c r="O66" s="3004">
        <f>IF(Q66&gt;0,N66,"NA")</f>
        <v>0.09</v>
      </c>
      <c r="P66" s="76">
        <f>SUM(P67)</f>
        <v>1628101200</v>
      </c>
      <c r="Q66" s="76">
        <f>SUM(Q67)</f>
        <v>1628101200</v>
      </c>
      <c r="R66" s="76">
        <f>SUM(R67)</f>
        <v>432805000</v>
      </c>
      <c r="S66" s="76">
        <f>SUM(S67)</f>
        <v>164086249</v>
      </c>
      <c r="T66" s="77">
        <f>IF(Q66=0,0,R66/Q66)</f>
        <v>0.26583421227132564</v>
      </c>
      <c r="U66" s="77">
        <f>IF(R66=0,0,S66/R66)</f>
        <v>0.37912281281408489</v>
      </c>
      <c r="V66" s="2025"/>
      <c r="W66" s="2025"/>
      <c r="X66" s="74"/>
      <c r="Y66" s="74"/>
    </row>
    <row r="67" spans="1:25" ht="66">
      <c r="A67" s="3225"/>
      <c r="B67" s="406"/>
      <c r="C67" s="3225"/>
      <c r="D67" s="3227"/>
      <c r="E67" s="406" t="s">
        <v>3739</v>
      </c>
      <c r="F67" s="2050"/>
      <c r="G67" s="121" t="s">
        <v>3736</v>
      </c>
      <c r="H67" s="2050"/>
      <c r="I67" s="2051" t="s">
        <v>3740</v>
      </c>
      <c r="J67" s="121" t="s">
        <v>138</v>
      </c>
      <c r="K67" s="2052">
        <v>0.26</v>
      </c>
      <c r="L67" s="2053">
        <v>1</v>
      </c>
      <c r="M67" s="2054">
        <f>+H67</f>
        <v>0</v>
      </c>
      <c r="N67" s="163">
        <v>0.09</v>
      </c>
      <c r="O67" s="3228"/>
      <c r="P67" s="2065">
        <v>1628101200</v>
      </c>
      <c r="Q67" s="2065">
        <v>1628101200</v>
      </c>
      <c r="R67" s="2065">
        <v>432805000</v>
      </c>
      <c r="S67" s="2065">
        <v>164086249</v>
      </c>
      <c r="T67" s="163">
        <f>IF(Q67=0,0,R67/Q67)</f>
        <v>0.26583421227132564</v>
      </c>
      <c r="U67" s="163">
        <f>IF(R67=0,0,S67/R67)</f>
        <v>0.37912281281408489</v>
      </c>
      <c r="V67" s="2055">
        <v>45306</v>
      </c>
      <c r="W67" s="2055">
        <v>45657</v>
      </c>
      <c r="X67" s="210" t="s">
        <v>3741</v>
      </c>
      <c r="Y67" s="148" t="s">
        <v>3742</v>
      </c>
    </row>
    <row r="68" spans="1:25">
      <c r="A68" s="54"/>
      <c r="B68" s="53"/>
      <c r="C68" s="53"/>
      <c r="D68" s="2041"/>
      <c r="E68" s="109"/>
      <c r="F68" s="109"/>
      <c r="G68" s="109"/>
      <c r="H68" s="1818"/>
      <c r="I68" s="108"/>
      <c r="J68" s="109"/>
      <c r="K68" s="109"/>
      <c r="L68" s="109"/>
      <c r="M68" s="2042"/>
      <c r="N68" s="109"/>
      <c r="O68" s="109"/>
      <c r="P68" s="122"/>
      <c r="Q68" s="122"/>
      <c r="R68" s="122"/>
      <c r="S68" s="122"/>
      <c r="T68" s="127"/>
      <c r="U68" s="127"/>
      <c r="V68" s="109"/>
      <c r="W68" s="109"/>
      <c r="X68" s="1818"/>
      <c r="Y68" s="109"/>
    </row>
    <row r="69" spans="1:25" s="46" customFormat="1">
      <c r="A69" s="52"/>
      <c r="B69" s="52" t="s">
        <v>50</v>
      </c>
      <c r="C69" s="113">
        <f>COUNTIF(C7:C67,"pr")</f>
        <v>15</v>
      </c>
      <c r="D69" s="111"/>
      <c r="E69" s="52" t="s">
        <v>126</v>
      </c>
      <c r="F69" s="52"/>
      <c r="G69" s="53">
        <f>COUNTIF(L7:L67,"na")-C70</f>
        <v>0</v>
      </c>
      <c r="H69" s="53"/>
      <c r="I69" s="2041"/>
      <c r="J69" s="53"/>
      <c r="K69" s="52"/>
      <c r="L69" s="53"/>
      <c r="M69" s="1112"/>
      <c r="N69" s="53" t="s">
        <v>1243</v>
      </c>
      <c r="O69" s="123">
        <f>AVERAGE(O11:O67)</f>
        <v>0.17199999999999999</v>
      </c>
      <c r="P69" s="55">
        <f>+P11+P18+P22+P25+P29+P32+P35+P39+P42+P45+P49+P52+P56+P62+P66</f>
        <v>181048302839</v>
      </c>
      <c r="Q69" s="55">
        <f>+Q11+Q18+Q22+Q25+Q29+Q32+Q35+Q39+Q42+Q45+Q49+Q52+Q56+Q62+Q66</f>
        <v>210701746699</v>
      </c>
      <c r="R69" s="55">
        <f>+R11+R18+R22+R25+R29+R32+R35+R39+R42+R45+R49+R52+R56+R62+R66</f>
        <v>8177590813</v>
      </c>
      <c r="S69" s="55">
        <f>+S11+S18+S22+S25+S29+S32+S35+S39+S42+S45+S49+S52+S56+S62+S66</f>
        <v>4977824032</v>
      </c>
      <c r="T69" s="128">
        <f>IF(Q69=0,0,R69/Q69)</f>
        <v>3.8811215099617449E-2</v>
      </c>
      <c r="U69" s="128">
        <f>IF(R69=0,0,S69/R69)</f>
        <v>0.60871522503751374</v>
      </c>
      <c r="V69" s="52"/>
      <c r="W69" s="52"/>
      <c r="X69" s="53"/>
      <c r="Y69" s="52"/>
    </row>
    <row r="70" spans="1:25" s="46" customFormat="1">
      <c r="A70" s="52"/>
      <c r="B70" s="53"/>
      <c r="C70" s="53"/>
      <c r="D70" s="2041"/>
      <c r="E70" s="52"/>
      <c r="F70" s="52"/>
      <c r="G70" s="52"/>
      <c r="H70" s="52"/>
      <c r="I70" s="2041"/>
      <c r="J70" s="52"/>
      <c r="K70" s="52"/>
      <c r="L70" s="52"/>
      <c r="M70" s="2067"/>
      <c r="N70" s="2068" t="s">
        <v>3743</v>
      </c>
      <c r="O70" s="53">
        <f>COUNTIF(O11:O67,"=0%")</f>
        <v>4</v>
      </c>
      <c r="P70" s="55">
        <v>181048302839</v>
      </c>
      <c r="Q70" s="55">
        <v>210701746699</v>
      </c>
      <c r="R70" s="55">
        <v>8177590813</v>
      </c>
      <c r="S70" s="55">
        <v>4977824032</v>
      </c>
      <c r="T70" s="1131"/>
      <c r="U70" s="1131"/>
      <c r="V70" s="52"/>
      <c r="W70" s="52"/>
      <c r="X70" s="53"/>
      <c r="Y70" s="52"/>
    </row>
    <row r="71" spans="1:25" ht="14.4">
      <c r="A71" s="54"/>
      <c r="B71" s="106"/>
      <c r="C71" s="106"/>
      <c r="D71" s="54"/>
      <c r="E71" s="1818"/>
      <c r="F71" s="109"/>
      <c r="G71" s="109"/>
      <c r="H71" s="1818"/>
      <c r="I71" s="109"/>
      <c r="J71" s="1818"/>
      <c r="K71" s="109"/>
      <c r="L71" s="109"/>
      <c r="M71" s="2042"/>
      <c r="N71" s="109"/>
      <c r="O71" s="109"/>
      <c r="P71" s="122">
        <f>P70-P69</f>
        <v>0</v>
      </c>
      <c r="Q71" s="122">
        <f>Q70-Q69</f>
        <v>0</v>
      </c>
      <c r="R71" s="122">
        <f>R70-R69</f>
        <v>0</v>
      </c>
      <c r="S71" s="122">
        <f>S70-S69</f>
        <v>0</v>
      </c>
      <c r="T71"/>
      <c r="U71" s="127"/>
      <c r="V71" s="109"/>
      <c r="W71" s="109"/>
      <c r="X71" s="1818"/>
      <c r="Y71" s="109"/>
    </row>
  </sheetData>
  <autoFilter ref="A5:Y67" xr:uid="{00000000-0009-0000-0000-000012000000}"/>
  <mergeCells count="100">
    <mergeCell ref="A1:X1"/>
    <mergeCell ref="T5:T6"/>
    <mergeCell ref="P5:P6"/>
    <mergeCell ref="R5:R6"/>
    <mergeCell ref="U5:U6"/>
    <mergeCell ref="K5:K6"/>
    <mergeCell ref="A3:B3"/>
    <mergeCell ref="V3:W3"/>
    <mergeCell ref="Q5:Q6"/>
    <mergeCell ref="A2:Y2"/>
    <mergeCell ref="Y5:Y6"/>
    <mergeCell ref="C3:R3"/>
    <mergeCell ref="S3:U3"/>
    <mergeCell ref="A4:Y4"/>
    <mergeCell ref="G5:G6"/>
    <mergeCell ref="H5:H6"/>
    <mergeCell ref="A5:A6"/>
    <mergeCell ref="X5:X6"/>
    <mergeCell ref="S5:S6"/>
    <mergeCell ref="O5:O6"/>
    <mergeCell ref="V5:V6"/>
    <mergeCell ref="J5:J6"/>
    <mergeCell ref="D5:D6"/>
    <mergeCell ref="B5:B6"/>
    <mergeCell ref="C5:C6"/>
    <mergeCell ref="W5:W6"/>
    <mergeCell ref="L5:L6"/>
    <mergeCell ref="M5:M6"/>
    <mergeCell ref="E5:E6"/>
    <mergeCell ref="N5:N6"/>
    <mergeCell ref="F5:F6"/>
    <mergeCell ref="I5:I6"/>
    <mergeCell ref="A11:A13"/>
    <mergeCell ref="C11:C13"/>
    <mergeCell ref="D11:D13"/>
    <mergeCell ref="O11:O13"/>
    <mergeCell ref="Y12:Y13"/>
    <mergeCell ref="A18:A19"/>
    <mergeCell ref="C18:C19"/>
    <mergeCell ref="D18:D19"/>
    <mergeCell ref="O18:O19"/>
    <mergeCell ref="A22:A23"/>
    <mergeCell ref="C22:C23"/>
    <mergeCell ref="D22:D23"/>
    <mergeCell ref="O22:O23"/>
    <mergeCell ref="A25:A26"/>
    <mergeCell ref="C25:C26"/>
    <mergeCell ref="D25:D26"/>
    <mergeCell ref="O25:O26"/>
    <mergeCell ref="Y25:Y26"/>
    <mergeCell ref="A29:A30"/>
    <mergeCell ref="C29:C30"/>
    <mergeCell ref="D29:D30"/>
    <mergeCell ref="O29:O30"/>
    <mergeCell ref="A32:A33"/>
    <mergeCell ref="C32:C33"/>
    <mergeCell ref="D32:D33"/>
    <mergeCell ref="O32:O33"/>
    <mergeCell ref="Y32:Y33"/>
    <mergeCell ref="A35:A37"/>
    <mergeCell ref="C35:C37"/>
    <mergeCell ref="D35:D37"/>
    <mergeCell ref="O35:O37"/>
    <mergeCell ref="Y36:Y37"/>
    <mergeCell ref="A39:A40"/>
    <mergeCell ref="C39:C40"/>
    <mergeCell ref="D39:D40"/>
    <mergeCell ref="O39:O40"/>
    <mergeCell ref="A42:A43"/>
    <mergeCell ref="C42:C43"/>
    <mergeCell ref="D42:D43"/>
    <mergeCell ref="O42:O43"/>
    <mergeCell ref="A45:A47"/>
    <mergeCell ref="C45:C47"/>
    <mergeCell ref="D45:D47"/>
    <mergeCell ref="O45:O47"/>
    <mergeCell ref="Y46:Y47"/>
    <mergeCell ref="A49:A50"/>
    <mergeCell ref="C49:C50"/>
    <mergeCell ref="D49:D50"/>
    <mergeCell ref="O49:O50"/>
    <mergeCell ref="Y49:Y50"/>
    <mergeCell ref="A52:A54"/>
    <mergeCell ref="C52:C54"/>
    <mergeCell ref="D52:D54"/>
    <mergeCell ref="O52:O54"/>
    <mergeCell ref="Y52:Y54"/>
    <mergeCell ref="A56:A57"/>
    <mergeCell ref="C56:C57"/>
    <mergeCell ref="D56:D57"/>
    <mergeCell ref="O56:O57"/>
    <mergeCell ref="A62:A63"/>
    <mergeCell ref="C62:C63"/>
    <mergeCell ref="D62:D63"/>
    <mergeCell ref="O62:O63"/>
    <mergeCell ref="Y62:Y63"/>
    <mergeCell ref="A66:A67"/>
    <mergeCell ref="C66:C67"/>
    <mergeCell ref="D66:D67"/>
    <mergeCell ref="O66:O67"/>
  </mergeCells>
  <conditionalFormatting sqref="I63">
    <cfRule type="cellIs" dxfId="0" priority="1" stopIfTrue="1" operator="equal">
      <formula>"ESCRIBA AQUÍ EL NOMBRE DEL CAPITULO"</formula>
    </cfRule>
  </conditionalFormatting>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152"/>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71</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7" t="s">
        <v>12</v>
      </c>
      <c r="O5" s="2867" t="s">
        <v>86</v>
      </c>
      <c r="P5" s="2871" t="s">
        <v>1</v>
      </c>
      <c r="Q5" s="2867" t="s">
        <v>13</v>
      </c>
      <c r="R5" s="2867" t="s">
        <v>14</v>
      </c>
      <c r="S5" s="2867" t="s">
        <v>16</v>
      </c>
      <c r="T5" s="2867" t="s">
        <v>15</v>
      </c>
      <c r="U5" s="2867" t="s">
        <v>103</v>
      </c>
      <c r="V5" s="2871" t="s">
        <v>6</v>
      </c>
      <c r="W5" s="2871" t="s">
        <v>7</v>
      </c>
      <c r="X5" s="2867" t="s">
        <v>0</v>
      </c>
      <c r="Y5" s="2867" t="s">
        <v>90</v>
      </c>
    </row>
    <row r="6" spans="1:25" ht="42.75" customHeight="1">
      <c r="A6" s="2923"/>
      <c r="B6" s="2923"/>
      <c r="C6" s="2923"/>
      <c r="D6" s="2923"/>
      <c r="E6" s="2923"/>
      <c r="F6" s="2923"/>
      <c r="G6" s="2923"/>
      <c r="H6" s="2923"/>
      <c r="I6" s="2923"/>
      <c r="J6" s="2923"/>
      <c r="K6" s="2923"/>
      <c r="L6" s="2923"/>
      <c r="M6" s="2925"/>
      <c r="N6" s="2925"/>
      <c r="O6" s="2925"/>
      <c r="P6" s="2922"/>
      <c r="Q6" s="2925"/>
      <c r="R6" s="2925"/>
      <c r="S6" s="2925"/>
      <c r="T6" s="2925"/>
      <c r="U6" s="2925"/>
      <c r="V6" s="2922"/>
      <c r="W6" s="2922"/>
      <c r="X6" s="2925"/>
      <c r="Y6" s="2925"/>
    </row>
    <row r="7" spans="1:25" ht="15.6">
      <c r="A7" s="830"/>
      <c r="B7" s="830">
        <v>51</v>
      </c>
      <c r="C7" s="830" t="s">
        <v>114</v>
      </c>
      <c r="D7" s="2167" t="s">
        <v>1351</v>
      </c>
      <c r="E7" s="2146"/>
      <c r="F7" s="2147"/>
      <c r="G7" s="2148"/>
      <c r="H7" s="2149"/>
      <c r="I7" s="2150"/>
      <c r="J7" s="2151"/>
      <c r="K7" s="2152"/>
      <c r="L7" s="2153"/>
      <c r="M7" s="2149"/>
      <c r="N7" s="2154"/>
      <c r="O7" s="2155"/>
      <c r="P7" s="2156"/>
      <c r="Q7" s="2156"/>
      <c r="R7" s="2156"/>
      <c r="S7" s="2156"/>
      <c r="T7" s="2156"/>
      <c r="U7" s="2156"/>
      <c r="V7" s="2157"/>
      <c r="W7" s="2158"/>
      <c r="X7" s="2159"/>
      <c r="Y7" s="2152"/>
    </row>
    <row r="8" spans="1:25" ht="15.6">
      <c r="A8" s="837"/>
      <c r="B8" s="837">
        <v>5105</v>
      </c>
      <c r="C8" s="837" t="s">
        <v>115</v>
      </c>
      <c r="D8" s="838" t="s">
        <v>749</v>
      </c>
      <c r="E8" s="2069"/>
      <c r="F8" s="2070"/>
      <c r="G8" s="2071"/>
      <c r="H8" s="590"/>
      <c r="I8" s="816"/>
      <c r="J8" s="2072"/>
      <c r="K8" s="815"/>
      <c r="L8" s="2073"/>
      <c r="M8" s="590"/>
      <c r="N8" s="2074"/>
      <c r="O8" s="2075"/>
      <c r="P8" s="2076"/>
      <c r="Q8" s="2076"/>
      <c r="R8" s="2076"/>
      <c r="S8" s="2076"/>
      <c r="T8" s="2076"/>
      <c r="U8" s="2076"/>
      <c r="V8" s="2077"/>
      <c r="W8" s="2078"/>
      <c r="X8" s="419"/>
      <c r="Y8" s="815"/>
    </row>
    <row r="9" spans="1:25" ht="15.6">
      <c r="A9" s="873"/>
      <c r="B9" s="873">
        <v>5105003</v>
      </c>
      <c r="C9" s="873" t="s">
        <v>116</v>
      </c>
      <c r="D9" s="874" t="s">
        <v>3744</v>
      </c>
      <c r="E9" s="2079"/>
      <c r="F9" s="2080"/>
      <c r="G9" s="2081"/>
      <c r="H9" s="590"/>
      <c r="I9" s="215"/>
      <c r="J9" s="2082"/>
      <c r="K9" s="221"/>
      <c r="L9" s="2083"/>
      <c r="M9" s="590"/>
      <c r="N9" s="2074"/>
      <c r="O9" s="2075"/>
      <c r="P9" s="2084"/>
      <c r="Q9" s="2076"/>
      <c r="R9" s="2076"/>
      <c r="S9" s="2076"/>
      <c r="T9" s="2076"/>
      <c r="U9" s="2076"/>
      <c r="V9" s="2085"/>
      <c r="W9" s="2086"/>
      <c r="X9" s="419"/>
      <c r="Y9" s="221"/>
    </row>
    <row r="10" spans="1:25" ht="27.6">
      <c r="A10" s="1790"/>
      <c r="B10" s="2087">
        <v>51050030001</v>
      </c>
      <c r="C10" s="2087" t="s">
        <v>117</v>
      </c>
      <c r="D10" s="845" t="s">
        <v>3745</v>
      </c>
      <c r="E10" s="2088"/>
      <c r="F10" s="2089"/>
      <c r="G10" s="800"/>
      <c r="H10" s="2089"/>
      <c r="I10" s="591"/>
      <c r="J10" s="591"/>
      <c r="K10" s="1790"/>
      <c r="L10" s="2090"/>
      <c r="M10" s="590"/>
      <c r="N10" s="2074"/>
      <c r="O10" s="2075"/>
      <c r="P10" s="2091"/>
      <c r="Q10" s="2076"/>
      <c r="R10" s="2076"/>
      <c r="S10" s="2076"/>
      <c r="T10" s="2076"/>
      <c r="U10" s="2076"/>
      <c r="V10" s="2092"/>
      <c r="W10" s="2092"/>
      <c r="X10" s="419"/>
      <c r="Y10" s="591"/>
    </row>
    <row r="11" spans="1:25">
      <c r="A11" s="3026">
        <v>4161</v>
      </c>
      <c r="B11" s="3248"/>
      <c r="C11" s="3026" t="s">
        <v>123</v>
      </c>
      <c r="D11" s="3042" t="s">
        <v>3746</v>
      </c>
      <c r="E11" s="2093" t="s">
        <v>3747</v>
      </c>
      <c r="F11" s="2089"/>
      <c r="G11" s="800"/>
      <c r="H11" s="2089"/>
      <c r="I11" s="377"/>
      <c r="J11" s="377"/>
      <c r="K11" s="474">
        <f>SUM(K12)</f>
        <v>220</v>
      </c>
      <c r="L11" s="2169">
        <f>SUM(L12)</f>
        <v>1</v>
      </c>
      <c r="M11" s="474">
        <f>SUM(M12)</f>
        <v>37</v>
      </c>
      <c r="N11" s="2178">
        <f>SUM(N12)</f>
        <v>0.17</v>
      </c>
      <c r="O11" s="3237">
        <f>+IF(Q11&gt;0,N11,"na")</f>
        <v>0.17</v>
      </c>
      <c r="P11" s="2095">
        <f>SUM(P12)</f>
        <v>870315507</v>
      </c>
      <c r="Q11" s="2095">
        <f t="shared" ref="Q11:S11" si="0">SUM(Q12)</f>
        <v>870315507</v>
      </c>
      <c r="R11" s="2095">
        <f t="shared" si="0"/>
        <v>167113000</v>
      </c>
      <c r="S11" s="2095">
        <f t="shared" si="0"/>
        <v>71760000</v>
      </c>
      <c r="T11" s="2859">
        <f>+IF(Q11&gt;0,R11/Q11,0)</f>
        <v>0.19201427373854663</v>
      </c>
      <c r="U11" s="2859">
        <f>+IF(R11&gt;0,S11/R11,0)</f>
        <v>0.42941003991311266</v>
      </c>
      <c r="V11" s="2096"/>
      <c r="W11" s="2096"/>
      <c r="X11" s="419"/>
      <c r="Y11" s="3242" t="s">
        <v>3748</v>
      </c>
    </row>
    <row r="12" spans="1:25" ht="118.8">
      <c r="A12" s="3026"/>
      <c r="B12" s="3248"/>
      <c r="C12" s="3026"/>
      <c r="D12" s="3042"/>
      <c r="E12" s="2093" t="s">
        <v>3749</v>
      </c>
      <c r="F12" s="2089"/>
      <c r="G12" s="800" t="s">
        <v>3745</v>
      </c>
      <c r="H12" s="2089"/>
      <c r="I12" s="213" t="s">
        <v>3750</v>
      </c>
      <c r="J12" s="2097" t="s">
        <v>3751</v>
      </c>
      <c r="K12" s="474">
        <v>220</v>
      </c>
      <c r="L12" s="2169">
        <v>1</v>
      </c>
      <c r="M12" s="474">
        <v>37</v>
      </c>
      <c r="N12" s="2178">
        <v>0.17</v>
      </c>
      <c r="O12" s="3237"/>
      <c r="P12" s="2181">
        <v>870315507</v>
      </c>
      <c r="Q12" s="2181">
        <f>VLOOKUP($E:$E,[1]Hoja1!$A:$E,3,0)</f>
        <v>870315507</v>
      </c>
      <c r="R12" s="2181">
        <f>VLOOKUP($E:$E,[1]Hoja1!$A:$E,4,0)</f>
        <v>167113000</v>
      </c>
      <c r="S12" s="2181">
        <f>VLOOKUP($E:$E,[1]Hoja1!$A:$E,5,0)</f>
        <v>71760000</v>
      </c>
      <c r="T12" s="2859">
        <f>+IF(Q12&gt;0,R12/Q12,0)</f>
        <v>0.19201427373854663</v>
      </c>
      <c r="U12" s="2859">
        <f>+IF(R12&gt;0,S12/R12,0)</f>
        <v>0.42941003991311266</v>
      </c>
      <c r="V12" s="2857">
        <v>45309</v>
      </c>
      <c r="W12" s="2857">
        <v>45657</v>
      </c>
      <c r="X12" s="419" t="s">
        <v>3752</v>
      </c>
      <c r="Y12" s="3242"/>
    </row>
    <row r="13" spans="1:25" ht="15.6">
      <c r="A13" s="419"/>
      <c r="B13" s="2087">
        <v>51050030002</v>
      </c>
      <c r="C13" s="2087" t="s">
        <v>117</v>
      </c>
      <c r="D13" s="845" t="s">
        <v>3753</v>
      </c>
      <c r="E13" s="2093"/>
      <c r="F13" s="2089"/>
      <c r="G13" s="800"/>
      <c r="H13" s="2089"/>
      <c r="I13" s="474"/>
      <c r="J13" s="474"/>
      <c r="K13" s="474"/>
      <c r="L13" s="249"/>
      <c r="M13" s="474"/>
      <c r="N13" s="2178"/>
      <c r="O13" s="2179"/>
      <c r="P13" s="2181"/>
      <c r="Q13" s="2182"/>
      <c r="R13" s="2182"/>
      <c r="S13" s="2182"/>
      <c r="T13" s="2076"/>
      <c r="U13" s="2076"/>
      <c r="V13" s="2857"/>
      <c r="W13" s="2857"/>
      <c r="X13" s="419"/>
      <c r="Y13" s="419"/>
    </row>
    <row r="14" spans="1:25" ht="14.4">
      <c r="A14" s="3026">
        <v>4161</v>
      </c>
      <c r="B14" s="3242"/>
      <c r="C14" s="3242" t="s">
        <v>123</v>
      </c>
      <c r="D14" s="3042" t="s">
        <v>3754</v>
      </c>
      <c r="E14" s="2093" t="s">
        <v>3755</v>
      </c>
      <c r="F14" s="2089"/>
      <c r="G14" s="800"/>
      <c r="H14" s="2089"/>
      <c r="I14" s="213"/>
      <c r="J14" s="2097"/>
      <c r="K14" s="474">
        <f>SUM(K15)</f>
        <v>300</v>
      </c>
      <c r="L14" s="249">
        <f>SUM(L15)</f>
        <v>1</v>
      </c>
      <c r="M14" s="474">
        <f>SUM(M15)</f>
        <v>0</v>
      </c>
      <c r="N14" s="2178">
        <f>SUM(N15)</f>
        <v>0</v>
      </c>
      <c r="O14" s="3237">
        <f>+IF(Q14&gt;0,N14,"na")</f>
        <v>0</v>
      </c>
      <c r="P14" s="2181">
        <f>SUM(P15)</f>
        <v>110816000</v>
      </c>
      <c r="Q14" s="2181">
        <f t="shared" ref="Q14:S14" si="1">SUM(Q15)</f>
        <v>110816000</v>
      </c>
      <c r="R14" s="2181">
        <f t="shared" si="1"/>
        <v>0</v>
      </c>
      <c r="S14" s="2181">
        <f t="shared" si="1"/>
        <v>0</v>
      </c>
      <c r="T14" s="2859">
        <f>+IF(Q14&gt;0,R14/Q14,0)</f>
        <v>0</v>
      </c>
      <c r="U14" s="2859">
        <f>+IF(R14&gt;0,S14/R14,0)</f>
        <v>0</v>
      </c>
      <c r="V14" s="2858"/>
      <c r="W14" s="2858"/>
      <c r="X14" s="419"/>
      <c r="Y14" s="3242" t="s">
        <v>3748</v>
      </c>
    </row>
    <row r="15" spans="1:25" ht="79.2">
      <c r="A15" s="3026"/>
      <c r="B15" s="3242"/>
      <c r="C15" s="3242"/>
      <c r="D15" s="3042"/>
      <c r="E15" s="2093" t="s">
        <v>3756</v>
      </c>
      <c r="F15" s="2089"/>
      <c r="G15" s="800" t="s">
        <v>3753</v>
      </c>
      <c r="H15" s="2089"/>
      <c r="I15" s="213" t="s">
        <v>3757</v>
      </c>
      <c r="J15" s="2097" t="s">
        <v>139</v>
      </c>
      <c r="K15" s="474">
        <v>300</v>
      </c>
      <c r="L15" s="2169">
        <v>1</v>
      </c>
      <c r="M15" s="474">
        <v>0</v>
      </c>
      <c r="N15" s="2178">
        <v>0</v>
      </c>
      <c r="O15" s="3237"/>
      <c r="P15" s="2181">
        <v>110816000</v>
      </c>
      <c r="Q15" s="2181">
        <f>VLOOKUP($E:$E,[1]Hoja1!$A:$E,3,0)</f>
        <v>110816000</v>
      </c>
      <c r="R15" s="2181">
        <f>VLOOKUP($E:$E,[1]Hoja1!$A:$E,4,0)</f>
        <v>0</v>
      </c>
      <c r="S15" s="2181">
        <f>VLOOKUP($E:$E,[1]Hoja1!$A:$E,5,0)</f>
        <v>0</v>
      </c>
      <c r="T15" s="2859">
        <f>+IF(Q15&gt;0,R15/Q15,0)</f>
        <v>0</v>
      </c>
      <c r="U15" s="2859">
        <f>+IF(R15&gt;0,S15/R15,0)</f>
        <v>0</v>
      </c>
      <c r="V15" s="2857"/>
      <c r="W15" s="2857"/>
      <c r="X15" s="419"/>
      <c r="Y15" s="3242"/>
    </row>
    <row r="16" spans="1:25" ht="27.6">
      <c r="A16" s="1790"/>
      <c r="B16" s="2087">
        <v>51050030003</v>
      </c>
      <c r="C16" s="2087" t="s">
        <v>117</v>
      </c>
      <c r="D16" s="845" t="s">
        <v>3758</v>
      </c>
      <c r="E16" s="2088"/>
      <c r="F16" s="2089"/>
      <c r="G16" s="800"/>
      <c r="H16" s="2089"/>
      <c r="I16" s="591"/>
      <c r="J16" s="591"/>
      <c r="K16" s="591"/>
      <c r="L16" s="2170"/>
      <c r="M16" s="474"/>
      <c r="N16" s="2178"/>
      <c r="O16" s="2179"/>
      <c r="P16" s="2098"/>
      <c r="Q16" s="2182"/>
      <c r="R16" s="2182"/>
      <c r="S16" s="2182"/>
      <c r="T16" s="2076"/>
      <c r="U16" s="2076"/>
      <c r="V16" s="2857"/>
      <c r="W16" s="2857"/>
      <c r="X16" s="419"/>
      <c r="Y16" s="2099"/>
    </row>
    <row r="17" spans="1:25" ht="14.4">
      <c r="A17" s="3026">
        <v>4161</v>
      </c>
      <c r="B17" s="3242"/>
      <c r="C17" s="3242" t="s">
        <v>123</v>
      </c>
      <c r="D17" s="3042" t="s">
        <v>3759</v>
      </c>
      <c r="E17" s="2093" t="s">
        <v>3760</v>
      </c>
      <c r="F17" s="2089"/>
      <c r="G17" s="800"/>
      <c r="H17" s="2089"/>
      <c r="I17" s="804"/>
      <c r="J17" s="804"/>
      <c r="K17" s="474">
        <f>SUM(K18)</f>
        <v>780</v>
      </c>
      <c r="L17" s="249">
        <f>SUM(L18:L18)</f>
        <v>1</v>
      </c>
      <c r="M17" s="474">
        <f>SUM(M18)</f>
        <v>70</v>
      </c>
      <c r="N17" s="2178">
        <f>SUM(N18)</f>
        <v>8.9743589743589744E-2</v>
      </c>
      <c r="O17" s="3237">
        <f>+IF(Q17&gt;0,N17,"na")</f>
        <v>8.9743589743589744E-2</v>
      </c>
      <c r="P17" s="2095">
        <f>SUM(P18)</f>
        <v>395722875</v>
      </c>
      <c r="Q17" s="2095">
        <f t="shared" ref="Q17:S17" si="2">SUM(Q18)</f>
        <v>395722875</v>
      </c>
      <c r="R17" s="2095">
        <f t="shared" si="2"/>
        <v>61050000</v>
      </c>
      <c r="S17" s="2095">
        <f t="shared" si="2"/>
        <v>19010000</v>
      </c>
      <c r="T17" s="2859">
        <f>+IF(Q17&gt;0,R17/Q17,0)</f>
        <v>0.15427462968876893</v>
      </c>
      <c r="U17" s="2859">
        <f>+IF(R17&gt;0,S17/R17,0)</f>
        <v>0.31138411138411137</v>
      </c>
      <c r="V17" s="2858"/>
      <c r="W17" s="2858"/>
      <c r="X17" s="419"/>
      <c r="Y17" s="3242" t="s">
        <v>3748</v>
      </c>
    </row>
    <row r="18" spans="1:25" ht="92.4">
      <c r="A18" s="3026"/>
      <c r="B18" s="3242"/>
      <c r="C18" s="3242"/>
      <c r="D18" s="3042"/>
      <c r="E18" s="2093" t="s">
        <v>3761</v>
      </c>
      <c r="F18" s="2089"/>
      <c r="G18" s="800" t="s">
        <v>3758</v>
      </c>
      <c r="H18" s="2089"/>
      <c r="I18" s="213" t="s">
        <v>3762</v>
      </c>
      <c r="J18" s="2097" t="s">
        <v>3763</v>
      </c>
      <c r="K18" s="474">
        <v>780</v>
      </c>
      <c r="L18" s="2169">
        <v>1</v>
      </c>
      <c r="M18" s="474">
        <v>70</v>
      </c>
      <c r="N18" s="2178">
        <f>+M18/K18</f>
        <v>8.9743589743589744E-2</v>
      </c>
      <c r="O18" s="3237"/>
      <c r="P18" s="2181">
        <v>395722875</v>
      </c>
      <c r="Q18" s="2181">
        <f>VLOOKUP($E:$E,[1]Hoja1!$A:$E,3,0)</f>
        <v>395722875</v>
      </c>
      <c r="R18" s="2181">
        <f>VLOOKUP($E:$E,[1]Hoja1!$A:$E,4,0)</f>
        <v>61050000</v>
      </c>
      <c r="S18" s="2181">
        <f>VLOOKUP($E:$E,[1]Hoja1!$A:$E,5,0)</f>
        <v>19010000</v>
      </c>
      <c r="T18" s="2859">
        <f>+IF(Q18&gt;0,R18/Q18,0)</f>
        <v>0.15427462968876893</v>
      </c>
      <c r="U18" s="2859">
        <f>+IF(R18&gt;0,S18/R18,0)</f>
        <v>0.31138411138411137</v>
      </c>
      <c r="V18" s="2857">
        <v>45309</v>
      </c>
      <c r="W18" s="2857">
        <v>45657</v>
      </c>
      <c r="X18" s="419" t="s">
        <v>3764</v>
      </c>
      <c r="Y18" s="3242"/>
    </row>
    <row r="19" spans="1:25" ht="15.6">
      <c r="A19" s="2070"/>
      <c r="B19" s="837">
        <v>52</v>
      </c>
      <c r="C19" s="837" t="s">
        <v>114</v>
      </c>
      <c r="D19" s="2168" t="s">
        <v>162</v>
      </c>
      <c r="E19" s="2069"/>
      <c r="F19" s="2089"/>
      <c r="G19" s="804"/>
      <c r="H19" s="2100"/>
      <c r="I19" s="2101"/>
      <c r="J19" s="2101"/>
      <c r="K19" s="2101"/>
      <c r="L19" s="2171"/>
      <c r="M19" s="474"/>
      <c r="N19" s="2178"/>
      <c r="O19" s="2179"/>
      <c r="P19" s="2183"/>
      <c r="Q19" s="400"/>
      <c r="R19" s="400"/>
      <c r="S19" s="400"/>
      <c r="T19" s="586"/>
      <c r="U19" s="586"/>
      <c r="V19" s="2857"/>
      <c r="W19" s="2857"/>
      <c r="X19" s="419"/>
      <c r="Y19" s="2101"/>
    </row>
    <row r="20" spans="1:25" ht="15.6">
      <c r="A20" s="2070"/>
      <c r="B20" s="837">
        <v>5201</v>
      </c>
      <c r="C20" s="837" t="s">
        <v>115</v>
      </c>
      <c r="D20" s="838" t="s">
        <v>1358</v>
      </c>
      <c r="E20" s="2069"/>
      <c r="F20" s="2089"/>
      <c r="G20" s="804"/>
      <c r="H20" s="2100"/>
      <c r="I20" s="2101"/>
      <c r="J20" s="2101"/>
      <c r="K20" s="2101"/>
      <c r="L20" s="2171"/>
      <c r="M20" s="474"/>
      <c r="N20" s="2178"/>
      <c r="O20" s="2179"/>
      <c r="P20" s="2102"/>
      <c r="Q20" s="400"/>
      <c r="R20" s="400"/>
      <c r="S20" s="400"/>
      <c r="T20" s="586"/>
      <c r="U20" s="586"/>
      <c r="V20" s="2857"/>
      <c r="W20" s="2857"/>
      <c r="X20" s="419"/>
      <c r="Y20" s="2101"/>
    </row>
    <row r="21" spans="1:25" ht="14.4">
      <c r="A21" s="2080"/>
      <c r="B21" s="873">
        <v>5201002</v>
      </c>
      <c r="C21" s="873" t="s">
        <v>116</v>
      </c>
      <c r="D21" s="874" t="s">
        <v>1711</v>
      </c>
      <c r="E21" s="2079"/>
      <c r="F21" s="2089"/>
      <c r="G21" s="804"/>
      <c r="H21" s="2100"/>
      <c r="I21" s="586"/>
      <c r="J21" s="586"/>
      <c r="K21" s="586"/>
      <c r="L21" s="2172"/>
      <c r="M21" s="474"/>
      <c r="N21" s="2178"/>
      <c r="O21" s="2179"/>
      <c r="P21" s="2103"/>
      <c r="Q21" s="400"/>
      <c r="R21" s="400"/>
      <c r="S21" s="400"/>
      <c r="T21" s="586"/>
      <c r="U21" s="586"/>
      <c r="V21" s="2857"/>
      <c r="W21" s="2857"/>
      <c r="X21" s="419"/>
      <c r="Y21" s="586"/>
    </row>
    <row r="22" spans="1:25" ht="27.6">
      <c r="A22" s="1790"/>
      <c r="B22" s="2087">
        <v>52010020001</v>
      </c>
      <c r="C22" s="2087" t="s">
        <v>117</v>
      </c>
      <c r="D22" s="845" t="s">
        <v>3765</v>
      </c>
      <c r="E22" s="2088"/>
      <c r="F22" s="2089"/>
      <c r="G22" s="2104"/>
      <c r="H22" s="2100"/>
      <c r="I22" s="2105"/>
      <c r="J22" s="2106"/>
      <c r="K22" s="2106"/>
      <c r="L22" s="2173"/>
      <c r="M22" s="474"/>
      <c r="N22" s="2178"/>
      <c r="O22" s="2179"/>
      <c r="P22" s="2184"/>
      <c r="Q22" s="400"/>
      <c r="R22" s="400"/>
      <c r="S22" s="400"/>
      <c r="T22" s="586"/>
      <c r="U22" s="586"/>
      <c r="V22" s="2857"/>
      <c r="W22" s="2857"/>
      <c r="X22" s="419"/>
      <c r="Y22" s="816"/>
    </row>
    <row r="23" spans="1:25">
      <c r="A23" s="3026">
        <v>4161</v>
      </c>
      <c r="B23" s="3247"/>
      <c r="C23" s="2926" t="s">
        <v>123</v>
      </c>
      <c r="D23" s="3240" t="s">
        <v>3766</v>
      </c>
      <c r="E23" s="878" t="s">
        <v>3767</v>
      </c>
      <c r="F23" s="2089"/>
      <c r="G23" s="213"/>
      <c r="H23" s="2100"/>
      <c r="I23" s="804"/>
      <c r="J23" s="804"/>
      <c r="K23" s="474">
        <f>SUM(K24)</f>
        <v>1017</v>
      </c>
      <c r="L23" s="249">
        <f>SUM(L24:L24)</f>
        <v>1</v>
      </c>
      <c r="M23" s="474">
        <f>SUM(M24)</f>
        <v>0</v>
      </c>
      <c r="N23" s="2178">
        <f>SUM(N24)</f>
        <v>0.1</v>
      </c>
      <c r="O23" s="3237">
        <f>+IF(Q23&gt;0,N23,"na")</f>
        <v>0.1</v>
      </c>
      <c r="P23" s="2095">
        <f>SUM(P24:P24)</f>
        <v>8180087042</v>
      </c>
      <c r="Q23" s="2095">
        <f t="shared" ref="Q23:S23" si="3">SUM(Q24:Q24)</f>
        <v>8180087042</v>
      </c>
      <c r="R23" s="2095">
        <f t="shared" si="3"/>
        <v>1554897515</v>
      </c>
      <c r="S23" s="2095">
        <f t="shared" si="3"/>
        <v>320883000</v>
      </c>
      <c r="T23" s="2859">
        <f>+IF(Q23&gt;0,R23/Q23,0)</f>
        <v>0.19008324813862049</v>
      </c>
      <c r="U23" s="2859">
        <f>+IF(R23&gt;0,S23/R23,0)</f>
        <v>0.20636922813527039</v>
      </c>
      <c r="V23" s="2857"/>
      <c r="W23" s="2857"/>
      <c r="X23" s="419"/>
      <c r="Y23" s="3026" t="s">
        <v>3768</v>
      </c>
    </row>
    <row r="24" spans="1:25" ht="79.2">
      <c r="A24" s="3026"/>
      <c r="B24" s="3247"/>
      <c r="C24" s="2926"/>
      <c r="D24" s="3240"/>
      <c r="E24" s="2093" t="s">
        <v>3769</v>
      </c>
      <c r="F24" s="2089"/>
      <c r="G24" s="213" t="s">
        <v>3765</v>
      </c>
      <c r="H24" s="2100"/>
      <c r="I24" s="213" t="s">
        <v>3770</v>
      </c>
      <c r="J24" s="213" t="s">
        <v>120</v>
      </c>
      <c r="K24" s="474">
        <v>1017</v>
      </c>
      <c r="L24" s="2169">
        <v>1</v>
      </c>
      <c r="M24" s="474">
        <v>0</v>
      </c>
      <c r="N24" s="2178">
        <v>0.1</v>
      </c>
      <c r="O24" s="3237"/>
      <c r="P24" s="2181">
        <v>8180087042</v>
      </c>
      <c r="Q24" s="2181">
        <f>VLOOKUP($E:$E,[1]Hoja1!$A:$E,3,0)</f>
        <v>8180087042</v>
      </c>
      <c r="R24" s="2181">
        <f>VLOOKUP($E:$E,[1]Hoja1!$A:$E,4,0)</f>
        <v>1554897515</v>
      </c>
      <c r="S24" s="2181">
        <f>VLOOKUP($E:$E,[1]Hoja1!$A:$E,5,0)</f>
        <v>320883000</v>
      </c>
      <c r="T24" s="2859">
        <f>+IF(Q24&gt;0,R24/Q24,0)</f>
        <v>0.19008324813862049</v>
      </c>
      <c r="U24" s="2859">
        <f>+IF(R24&gt;0,S24/R24,0)</f>
        <v>0.20636922813527039</v>
      </c>
      <c r="V24" s="2857">
        <v>45309</v>
      </c>
      <c r="W24" s="2857">
        <v>45657</v>
      </c>
      <c r="X24" s="419" t="s">
        <v>3771</v>
      </c>
      <c r="Y24" s="3026"/>
    </row>
    <row r="25" spans="1:25" ht="27.6">
      <c r="A25" s="1790"/>
      <c r="B25" s="2087">
        <v>52010020002</v>
      </c>
      <c r="C25" s="2087" t="s">
        <v>117</v>
      </c>
      <c r="D25" s="845" t="s">
        <v>3772</v>
      </c>
      <c r="E25" s="2088"/>
      <c r="F25" s="2100"/>
      <c r="G25" s="800"/>
      <c r="H25" s="2100"/>
      <c r="I25" s="591"/>
      <c r="J25" s="591"/>
      <c r="K25" s="591"/>
      <c r="L25" s="2170"/>
      <c r="M25" s="474"/>
      <c r="N25" s="2178"/>
      <c r="O25" s="2179"/>
      <c r="P25" s="2098"/>
      <c r="Q25" s="2182"/>
      <c r="R25" s="2182"/>
      <c r="S25" s="2182"/>
      <c r="T25" s="2858"/>
      <c r="U25" s="2858"/>
      <c r="V25" s="2857"/>
      <c r="W25" s="2857"/>
      <c r="X25" s="419"/>
      <c r="Y25" s="591"/>
    </row>
    <row r="26" spans="1:25" ht="14.4">
      <c r="A26" s="3026">
        <v>4161</v>
      </c>
      <c r="B26" s="3040"/>
      <c r="C26" s="3040" t="s">
        <v>123</v>
      </c>
      <c r="D26" s="3042" t="s">
        <v>3773</v>
      </c>
      <c r="E26" s="2093" t="s">
        <v>3774</v>
      </c>
      <c r="F26" s="2100"/>
      <c r="G26" s="800"/>
      <c r="H26" s="2100"/>
      <c r="I26" s="804"/>
      <c r="J26" s="804"/>
      <c r="K26" s="474">
        <f>SUM(K27)</f>
        <v>12625</v>
      </c>
      <c r="L26" s="249">
        <f>SUM(L27:L27)</f>
        <v>1</v>
      </c>
      <c r="M26" s="474">
        <f>SUM(M27)</f>
        <v>232</v>
      </c>
      <c r="N26" s="2178">
        <f>SUM(N27)</f>
        <v>1.8376237623762375E-2</v>
      </c>
      <c r="O26" s="3237">
        <f>+IF(Q26&gt;0,N26,"na")</f>
        <v>1.8376237623762375E-2</v>
      </c>
      <c r="P26" s="2181">
        <f>SUM(P27:P27)</f>
        <v>3714814250</v>
      </c>
      <c r="Q26" s="2181">
        <f t="shared" ref="Q26:S26" si="4">SUM(Q27:Q27)</f>
        <v>3714814250</v>
      </c>
      <c r="R26" s="2181">
        <f t="shared" si="4"/>
        <v>684595000</v>
      </c>
      <c r="S26" s="2181">
        <f t="shared" si="4"/>
        <v>62720236</v>
      </c>
      <c r="T26" s="2859">
        <f>+IF(Q26&gt;0,R26/Q26,0)</f>
        <v>0.18428781465991201</v>
      </c>
      <c r="U26" s="2859">
        <f>+IF(R26&gt;0,S26/R26,0)</f>
        <v>9.1616555773851693E-2</v>
      </c>
      <c r="V26" s="2858"/>
      <c r="W26" s="2858"/>
      <c r="X26" s="419"/>
      <c r="Y26" s="3026" t="s">
        <v>3768</v>
      </c>
    </row>
    <row r="27" spans="1:25" ht="145.19999999999999">
      <c r="A27" s="3026"/>
      <c r="B27" s="3040"/>
      <c r="C27" s="3040"/>
      <c r="D27" s="3042"/>
      <c r="E27" s="2093" t="s">
        <v>3775</v>
      </c>
      <c r="F27" s="2100"/>
      <c r="G27" s="800" t="s">
        <v>3772</v>
      </c>
      <c r="H27" s="2100"/>
      <c r="I27" s="804" t="s">
        <v>3776</v>
      </c>
      <c r="J27" s="804" t="s">
        <v>120</v>
      </c>
      <c r="K27" s="474">
        <v>12625</v>
      </c>
      <c r="L27" s="2169">
        <v>1</v>
      </c>
      <c r="M27" s="474">
        <v>232</v>
      </c>
      <c r="N27" s="2178">
        <f>+M27/K27</f>
        <v>1.8376237623762375E-2</v>
      </c>
      <c r="O27" s="3237"/>
      <c r="P27" s="2181">
        <v>3714814250</v>
      </c>
      <c r="Q27" s="2181">
        <f>VLOOKUP($E:$E,[1]Hoja1!$A:$E,3,0)</f>
        <v>3714814250</v>
      </c>
      <c r="R27" s="2181">
        <f>VLOOKUP($E:$E,[1]Hoja1!$A:$E,4,0)</f>
        <v>684595000</v>
      </c>
      <c r="S27" s="2181">
        <f>VLOOKUP($E:$E,[1]Hoja1!$A:$E,5,0)</f>
        <v>62720236</v>
      </c>
      <c r="T27" s="2859">
        <f>+IF(Q27&gt;0,R27/Q27,0)</f>
        <v>0.18428781465991201</v>
      </c>
      <c r="U27" s="2859">
        <f>+IF(R27&gt;0,S27/R27,0)</f>
        <v>9.1616555773851693E-2</v>
      </c>
      <c r="V27" s="2857">
        <v>45352</v>
      </c>
      <c r="W27" s="2857">
        <v>45657</v>
      </c>
      <c r="X27" s="419" t="s">
        <v>3777</v>
      </c>
      <c r="Y27" s="3026"/>
    </row>
    <row r="28" spans="1:25" ht="14.4">
      <c r="A28" s="2080"/>
      <c r="B28" s="873">
        <v>5201003</v>
      </c>
      <c r="C28" s="873" t="s">
        <v>116</v>
      </c>
      <c r="D28" s="874" t="s">
        <v>3778</v>
      </c>
      <c r="E28" s="2079"/>
      <c r="F28" s="2100"/>
      <c r="G28" s="800"/>
      <c r="H28" s="2089"/>
      <c r="I28" s="586"/>
      <c r="J28" s="586"/>
      <c r="K28" s="586"/>
      <c r="L28" s="2172"/>
      <c r="M28" s="474"/>
      <c r="N28" s="2178"/>
      <c r="O28" s="2179"/>
      <c r="P28" s="2103"/>
      <c r="Q28" s="2182"/>
      <c r="R28" s="2182"/>
      <c r="S28" s="2182"/>
      <c r="T28" s="2858"/>
      <c r="U28" s="2858"/>
      <c r="V28" s="2857"/>
      <c r="W28" s="2857"/>
      <c r="X28" s="419"/>
      <c r="Y28" s="586"/>
    </row>
    <row r="29" spans="1:25" ht="27.6">
      <c r="A29" s="1790"/>
      <c r="B29" s="2087">
        <v>52010030002</v>
      </c>
      <c r="C29" s="2087" t="s">
        <v>117</v>
      </c>
      <c r="D29" s="845" t="s">
        <v>3779</v>
      </c>
      <c r="E29" s="2088"/>
      <c r="F29" s="2089"/>
      <c r="G29" s="804"/>
      <c r="H29" s="2100"/>
      <c r="I29" s="591"/>
      <c r="J29" s="591"/>
      <c r="K29" s="591"/>
      <c r="L29" s="2170"/>
      <c r="M29" s="474"/>
      <c r="N29" s="2178"/>
      <c r="O29" s="2179"/>
      <c r="P29" s="2098"/>
      <c r="Q29" s="2182"/>
      <c r="R29" s="2182"/>
      <c r="S29" s="2182"/>
      <c r="T29" s="2858"/>
      <c r="U29" s="2858"/>
      <c r="V29" s="2857"/>
      <c r="W29" s="2857"/>
      <c r="X29" s="419"/>
      <c r="Y29" s="591"/>
    </row>
    <row r="30" spans="1:25" ht="14.4">
      <c r="A30" s="3026">
        <v>4161</v>
      </c>
      <c r="B30" s="3247"/>
      <c r="C30" s="2926" t="s">
        <v>123</v>
      </c>
      <c r="D30" s="3240" t="s">
        <v>3780</v>
      </c>
      <c r="E30" s="878" t="s">
        <v>3781</v>
      </c>
      <c r="F30" s="2089"/>
      <c r="G30" s="800"/>
      <c r="H30" s="2100"/>
      <c r="I30" s="804"/>
      <c r="J30" s="804"/>
      <c r="K30" s="803">
        <f>SUM(K32)</f>
        <v>6</v>
      </c>
      <c r="L30" s="249">
        <f>SUM(L31:L32)</f>
        <v>1</v>
      </c>
      <c r="M30" s="474">
        <f>SUM(M31:M32)</f>
        <v>0</v>
      </c>
      <c r="N30" s="2178">
        <f>SUM(N31:N32)</f>
        <v>0</v>
      </c>
      <c r="O30" s="3237">
        <f>+IF(Q30&gt;0,N30,"na")</f>
        <v>0</v>
      </c>
      <c r="P30" s="2181">
        <f>SUM(P31:P32)</f>
        <v>560670000</v>
      </c>
      <c r="Q30" s="2181">
        <f t="shared" ref="Q30:S30" si="5">SUM(Q31:Q32)</f>
        <v>560670000</v>
      </c>
      <c r="R30" s="2181">
        <f t="shared" si="5"/>
        <v>0</v>
      </c>
      <c r="S30" s="2181">
        <f t="shared" si="5"/>
        <v>0</v>
      </c>
      <c r="T30" s="2859">
        <f t="shared" ref="T30:U32" si="6">+IF(Q30&gt;0,R30/Q30,0)</f>
        <v>0</v>
      </c>
      <c r="U30" s="2859">
        <f t="shared" si="6"/>
        <v>0</v>
      </c>
      <c r="V30" s="2858"/>
      <c r="W30" s="2858"/>
      <c r="X30" s="419"/>
      <c r="Y30" s="3026" t="s">
        <v>3782</v>
      </c>
    </row>
    <row r="31" spans="1:25" ht="26.4">
      <c r="A31" s="3026"/>
      <c r="B31" s="3247"/>
      <c r="C31" s="2926"/>
      <c r="D31" s="3240"/>
      <c r="E31" s="2093" t="s">
        <v>3783</v>
      </c>
      <c r="F31" s="2089"/>
      <c r="G31" s="800"/>
      <c r="H31" s="2089"/>
      <c r="I31" s="804" t="s">
        <v>3784</v>
      </c>
      <c r="J31" s="804" t="s">
        <v>3785</v>
      </c>
      <c r="K31" s="474">
        <v>2</v>
      </c>
      <c r="L31" s="2169">
        <v>0.1</v>
      </c>
      <c r="M31" s="474">
        <v>0</v>
      </c>
      <c r="N31" s="2178">
        <v>0</v>
      </c>
      <c r="O31" s="3237"/>
      <c r="P31" s="2181">
        <v>21374732</v>
      </c>
      <c r="Q31" s="2181">
        <f>VLOOKUP($E:$E,[1]Hoja1!$A:$E,3,0)</f>
        <v>21374732</v>
      </c>
      <c r="R31" s="2181">
        <f>VLOOKUP($E:$E,[1]Hoja1!$A:$E,4,0)</f>
        <v>0</v>
      </c>
      <c r="S31" s="2181">
        <f>VLOOKUP($E:$E,[1]Hoja1!$A:$E,5,0)</f>
        <v>0</v>
      </c>
      <c r="T31" s="2859">
        <f t="shared" si="6"/>
        <v>0</v>
      </c>
      <c r="U31" s="2859">
        <f t="shared" si="6"/>
        <v>0</v>
      </c>
      <c r="V31" s="2857"/>
      <c r="W31" s="2857"/>
      <c r="X31" s="419"/>
      <c r="Y31" s="3026"/>
    </row>
    <row r="32" spans="1:25" ht="79.2">
      <c r="A32" s="3026"/>
      <c r="B32" s="3247"/>
      <c r="C32" s="2926"/>
      <c r="D32" s="3240"/>
      <c r="E32" s="2093" t="s">
        <v>3786</v>
      </c>
      <c r="F32" s="2089"/>
      <c r="G32" s="800" t="s">
        <v>3779</v>
      </c>
      <c r="H32" s="2089"/>
      <c r="I32" s="804" t="s">
        <v>3787</v>
      </c>
      <c r="J32" s="804" t="s">
        <v>3788</v>
      </c>
      <c r="K32" s="474">
        <v>6</v>
      </c>
      <c r="L32" s="2169">
        <v>0.9</v>
      </c>
      <c r="M32" s="474">
        <v>0</v>
      </c>
      <c r="N32" s="2178">
        <v>0</v>
      </c>
      <c r="O32" s="3237"/>
      <c r="P32" s="2181">
        <v>539295268</v>
      </c>
      <c r="Q32" s="2181">
        <f>VLOOKUP($E:$E,[1]Hoja1!$A:$E,3,0)</f>
        <v>539295268</v>
      </c>
      <c r="R32" s="2181">
        <f>VLOOKUP($E:$E,[1]Hoja1!$A:$E,4,0)</f>
        <v>0</v>
      </c>
      <c r="S32" s="2181">
        <f>VLOOKUP($E:$E,[1]Hoja1!$A:$E,5,0)</f>
        <v>0</v>
      </c>
      <c r="T32" s="2859">
        <f t="shared" si="6"/>
        <v>0</v>
      </c>
      <c r="U32" s="2859">
        <f t="shared" si="6"/>
        <v>0</v>
      </c>
      <c r="V32" s="2857"/>
      <c r="W32" s="2857"/>
      <c r="X32" s="419"/>
      <c r="Y32" s="3026"/>
    </row>
    <row r="33" spans="1:25" ht="27.6">
      <c r="A33" s="1790"/>
      <c r="B33" s="2087">
        <v>52010030003</v>
      </c>
      <c r="C33" s="2087" t="s">
        <v>117</v>
      </c>
      <c r="D33" s="845" t="s">
        <v>3789</v>
      </c>
      <c r="E33" s="2088"/>
      <c r="F33" s="2089"/>
      <c r="G33" s="804"/>
      <c r="H33" s="2089"/>
      <c r="I33" s="591"/>
      <c r="J33" s="591"/>
      <c r="K33" s="591"/>
      <c r="L33" s="2170"/>
      <c r="M33" s="474"/>
      <c r="N33" s="2178"/>
      <c r="O33" s="2179"/>
      <c r="P33" s="2098"/>
      <c r="Q33" s="2182"/>
      <c r="R33" s="2182"/>
      <c r="S33" s="2182"/>
      <c r="T33" s="2858"/>
      <c r="U33" s="2858"/>
      <c r="V33" s="2857"/>
      <c r="W33" s="2857"/>
      <c r="X33" s="419"/>
      <c r="Y33" s="591"/>
    </row>
    <row r="34" spans="1:25" ht="14.4">
      <c r="A34" s="3026">
        <v>4161</v>
      </c>
      <c r="B34" s="3247"/>
      <c r="C34" s="2926" t="s">
        <v>123</v>
      </c>
      <c r="D34" s="3240" t="s">
        <v>3790</v>
      </c>
      <c r="E34" s="878" t="s">
        <v>3791</v>
      </c>
      <c r="F34" s="2089"/>
      <c r="G34" s="800"/>
      <c r="H34" s="2089"/>
      <c r="I34" s="804"/>
      <c r="J34" s="804"/>
      <c r="K34" s="803">
        <f>SUM(K35)</f>
        <v>1</v>
      </c>
      <c r="L34" s="249">
        <f>SUM(L35:L35)</f>
        <v>1</v>
      </c>
      <c r="M34" s="474">
        <f>SUM(M35)</f>
        <v>0</v>
      </c>
      <c r="N34" s="2178">
        <f>SUM(N35)</f>
        <v>0.1</v>
      </c>
      <c r="O34" s="3237">
        <f>+IF(Q34&gt;0,N34,"na")</f>
        <v>0.1</v>
      </c>
      <c r="P34" s="2181">
        <f>SUM(P35:P35)</f>
        <v>1126997900</v>
      </c>
      <c r="Q34" s="2181">
        <f t="shared" ref="Q34:S34" si="7">SUM(Q35:Q35)</f>
        <v>1126997900</v>
      </c>
      <c r="R34" s="2181">
        <f t="shared" si="7"/>
        <v>59026000</v>
      </c>
      <c r="S34" s="2181">
        <f t="shared" si="7"/>
        <v>5366000</v>
      </c>
      <c r="T34" s="2859">
        <f>+IF(Q34&gt;0,R34/Q34,0)</f>
        <v>5.2374543022662243E-2</v>
      </c>
      <c r="U34" s="2859">
        <f>+IF(R34&gt;0,S34/R34,0)</f>
        <v>9.0909090909090912E-2</v>
      </c>
      <c r="V34" s="2858"/>
      <c r="W34" s="2858"/>
      <c r="X34" s="419"/>
      <c r="Y34" s="3026" t="s">
        <v>3782</v>
      </c>
    </row>
    <row r="35" spans="1:25" ht="105.6">
      <c r="A35" s="3026"/>
      <c r="B35" s="3247"/>
      <c r="C35" s="2926"/>
      <c r="D35" s="3240"/>
      <c r="E35" s="2093" t="s">
        <v>3792</v>
      </c>
      <c r="F35" s="2089"/>
      <c r="G35" s="800" t="s">
        <v>3789</v>
      </c>
      <c r="H35" s="2089"/>
      <c r="I35" s="804" t="s">
        <v>3793</v>
      </c>
      <c r="J35" s="804" t="s">
        <v>3794</v>
      </c>
      <c r="K35" s="474">
        <v>1</v>
      </c>
      <c r="L35" s="2169">
        <v>1</v>
      </c>
      <c r="M35" s="474">
        <v>0</v>
      </c>
      <c r="N35" s="2178">
        <v>0.1</v>
      </c>
      <c r="O35" s="3237"/>
      <c r="P35" s="2181">
        <v>1126997900</v>
      </c>
      <c r="Q35" s="2181">
        <f>VLOOKUP($E:$E,[1]Hoja1!$A:$E,3,0)</f>
        <v>1126997900</v>
      </c>
      <c r="R35" s="2181">
        <f>VLOOKUP($E:$E,[1]Hoja1!$A:$E,4,0)</f>
        <v>59026000</v>
      </c>
      <c r="S35" s="2181">
        <f>VLOOKUP($E:$E,[1]Hoja1!$A:$E,5,0)</f>
        <v>5366000</v>
      </c>
      <c r="T35" s="2859">
        <f>+IF(Q35&gt;0,R35/Q35,0)</f>
        <v>5.2374543022662243E-2</v>
      </c>
      <c r="U35" s="2859">
        <f>+IF(R35&gt;0,S35/R35,0)</f>
        <v>9.0909090909090912E-2</v>
      </c>
      <c r="V35" s="2857">
        <v>45299</v>
      </c>
      <c r="W35" s="2857">
        <v>45657</v>
      </c>
      <c r="X35" s="419" t="s">
        <v>3795</v>
      </c>
      <c r="Y35" s="3026"/>
    </row>
    <row r="36" spans="1:25" ht="14.4">
      <c r="A36" s="1790"/>
      <c r="B36" s="2087">
        <v>52010030004</v>
      </c>
      <c r="C36" s="2087" t="s">
        <v>117</v>
      </c>
      <c r="D36" s="845" t="s">
        <v>3796</v>
      </c>
      <c r="E36" s="2088"/>
      <c r="F36" s="2100"/>
      <c r="G36" s="800"/>
      <c r="H36" s="2089"/>
      <c r="I36" s="591"/>
      <c r="J36" s="591"/>
      <c r="K36" s="591"/>
      <c r="L36" s="2170"/>
      <c r="M36" s="474"/>
      <c r="N36" s="2178"/>
      <c r="O36" s="2179"/>
      <c r="P36" s="2098"/>
      <c r="Q36" s="2182"/>
      <c r="R36" s="2182"/>
      <c r="S36" s="2182"/>
      <c r="T36" s="2858"/>
      <c r="U36" s="2858"/>
      <c r="V36" s="2857"/>
      <c r="W36" s="2857"/>
      <c r="X36" s="419"/>
      <c r="Y36" s="591"/>
    </row>
    <row r="37" spans="1:25" ht="14.4">
      <c r="A37" s="3040">
        <v>4161</v>
      </c>
      <c r="B37" s="3040"/>
      <c r="C37" s="3040" t="s">
        <v>123</v>
      </c>
      <c r="D37" s="3246" t="s">
        <v>3797</v>
      </c>
      <c r="E37" s="2093" t="s">
        <v>3798</v>
      </c>
      <c r="F37" s="2100"/>
      <c r="G37" s="213"/>
      <c r="H37" s="2089"/>
      <c r="I37" s="804"/>
      <c r="J37" s="804"/>
      <c r="K37" s="803">
        <f>SUM(K38)</f>
        <v>1</v>
      </c>
      <c r="L37" s="249">
        <f>SUM(L38:L38)</f>
        <v>1</v>
      </c>
      <c r="M37" s="474">
        <f>SUM(M38)</f>
        <v>0</v>
      </c>
      <c r="N37" s="2178">
        <f>SUM(N38)</f>
        <v>0</v>
      </c>
      <c r="O37" s="3237">
        <f>+IF(Q37&gt;0,N37,"na")</f>
        <v>0</v>
      </c>
      <c r="P37" s="2181">
        <f>SUM(P38:P38)</f>
        <v>169420000</v>
      </c>
      <c r="Q37" s="2181">
        <f t="shared" ref="Q37:S37" si="8">SUM(Q38:Q38)</f>
        <v>169420000</v>
      </c>
      <c r="R37" s="2181">
        <f t="shared" si="8"/>
        <v>0</v>
      </c>
      <c r="S37" s="2181">
        <f t="shared" si="8"/>
        <v>0</v>
      </c>
      <c r="T37" s="2859">
        <f t="shared" ref="T37:U50" si="9">+IF(Q37&gt;0,R37/Q37,0)</f>
        <v>0</v>
      </c>
      <c r="U37" s="2859">
        <f t="shared" si="9"/>
        <v>0</v>
      </c>
      <c r="V37" s="2858"/>
      <c r="W37" s="2858"/>
      <c r="X37" s="419"/>
      <c r="Y37" s="3026" t="s">
        <v>3782</v>
      </c>
    </row>
    <row r="38" spans="1:25" ht="66">
      <c r="A38" s="3040"/>
      <c r="B38" s="3040"/>
      <c r="C38" s="3040"/>
      <c r="D38" s="3246"/>
      <c r="E38" s="2093" t="s">
        <v>3799</v>
      </c>
      <c r="F38" s="2089"/>
      <c r="G38" s="800" t="s">
        <v>3796</v>
      </c>
      <c r="H38" s="2089"/>
      <c r="I38" s="804" t="s">
        <v>3800</v>
      </c>
      <c r="J38" s="804" t="s">
        <v>3794</v>
      </c>
      <c r="K38" s="474">
        <v>1</v>
      </c>
      <c r="L38" s="2169">
        <v>1</v>
      </c>
      <c r="M38" s="474">
        <v>0</v>
      </c>
      <c r="N38" s="2178">
        <v>0</v>
      </c>
      <c r="O38" s="3237"/>
      <c r="P38" s="2181">
        <v>169420000</v>
      </c>
      <c r="Q38" s="2181">
        <f>VLOOKUP($E:$E,[1]Hoja1!$A:$E,3,0)</f>
        <v>169420000</v>
      </c>
      <c r="R38" s="2181">
        <f>VLOOKUP($E:$E,[1]Hoja1!$A:$E,4,0)</f>
        <v>0</v>
      </c>
      <c r="S38" s="2181">
        <f>VLOOKUP($E:$E,[1]Hoja1!$A:$E,5,0)</f>
        <v>0</v>
      </c>
      <c r="T38" s="2859">
        <f t="shared" si="9"/>
        <v>0</v>
      </c>
      <c r="U38" s="2859">
        <f t="shared" si="9"/>
        <v>0</v>
      </c>
      <c r="V38" s="2857"/>
      <c r="W38" s="2857"/>
      <c r="X38" s="419"/>
      <c r="Y38" s="3026"/>
    </row>
    <row r="39" spans="1:25" ht="14.4">
      <c r="A39" s="3026">
        <v>4161</v>
      </c>
      <c r="B39" s="3242"/>
      <c r="C39" s="3242" t="s">
        <v>123</v>
      </c>
      <c r="D39" s="3246" t="s">
        <v>3801</v>
      </c>
      <c r="E39" s="2093" t="s">
        <v>3802</v>
      </c>
      <c r="F39" s="2089"/>
      <c r="G39" s="213"/>
      <c r="H39" s="2089"/>
      <c r="I39" s="804"/>
      <c r="J39" s="804"/>
      <c r="K39" s="803">
        <f>SUM(K40)</f>
        <v>1</v>
      </c>
      <c r="L39" s="249">
        <f>SUM(L40:L40)</f>
        <v>1</v>
      </c>
      <c r="M39" s="474">
        <f>SUM(M40)</f>
        <v>0</v>
      </c>
      <c r="N39" s="2178">
        <f>SUM(N40)</f>
        <v>0</v>
      </c>
      <c r="O39" s="3237">
        <f>+IF(Q39&gt;0,N39,"na")</f>
        <v>0</v>
      </c>
      <c r="P39" s="2181">
        <f>SUM(P40:P40)</f>
        <v>26644694984</v>
      </c>
      <c r="Q39" s="2181">
        <f t="shared" ref="Q39:S39" si="10">SUM(Q40:Q40)</f>
        <v>26644694984</v>
      </c>
      <c r="R39" s="2181">
        <f t="shared" si="10"/>
        <v>0</v>
      </c>
      <c r="S39" s="2181">
        <f t="shared" si="10"/>
        <v>0</v>
      </c>
      <c r="T39" s="2859">
        <f t="shared" si="9"/>
        <v>0</v>
      </c>
      <c r="U39" s="2859">
        <f t="shared" si="9"/>
        <v>0</v>
      </c>
      <c r="V39" s="2858"/>
      <c r="W39" s="2858"/>
      <c r="X39" s="419"/>
      <c r="Y39" s="3026" t="s">
        <v>3782</v>
      </c>
    </row>
    <row r="40" spans="1:25" ht="66">
      <c r="A40" s="3026"/>
      <c r="B40" s="3242"/>
      <c r="C40" s="3242"/>
      <c r="D40" s="3246"/>
      <c r="E40" s="2093" t="s">
        <v>3803</v>
      </c>
      <c r="F40" s="2089"/>
      <c r="G40" s="800" t="s">
        <v>3796</v>
      </c>
      <c r="H40" s="2089"/>
      <c r="I40" s="804" t="s">
        <v>3800</v>
      </c>
      <c r="J40" s="804" t="s">
        <v>3794</v>
      </c>
      <c r="K40" s="474">
        <v>1</v>
      </c>
      <c r="L40" s="2169">
        <v>1</v>
      </c>
      <c r="M40" s="474">
        <v>0</v>
      </c>
      <c r="N40" s="2178">
        <v>0</v>
      </c>
      <c r="O40" s="3237"/>
      <c r="P40" s="2181">
        <v>26644694984</v>
      </c>
      <c r="Q40" s="2181">
        <f>VLOOKUP($E:$E,[1]Hoja1!$A:$E,3,0)</f>
        <v>26644694984</v>
      </c>
      <c r="R40" s="2181">
        <f>VLOOKUP($E:$E,[1]Hoja1!$A:$E,4,0)</f>
        <v>0</v>
      </c>
      <c r="S40" s="2181">
        <f>VLOOKUP($E:$E,[1]Hoja1!$A:$E,5,0)</f>
        <v>0</v>
      </c>
      <c r="T40" s="2859">
        <f t="shared" si="9"/>
        <v>0</v>
      </c>
      <c r="U40" s="2859">
        <f t="shared" si="9"/>
        <v>0</v>
      </c>
      <c r="V40" s="2857"/>
      <c r="W40" s="2857"/>
      <c r="X40" s="419"/>
      <c r="Y40" s="3026"/>
    </row>
    <row r="41" spans="1:25" ht="14.4">
      <c r="A41" s="3040">
        <v>4161</v>
      </c>
      <c r="B41" s="3040"/>
      <c r="C41" s="3040" t="s">
        <v>123</v>
      </c>
      <c r="D41" s="3246" t="s">
        <v>3804</v>
      </c>
      <c r="E41" s="2093" t="s">
        <v>3805</v>
      </c>
      <c r="F41" s="2089"/>
      <c r="G41" s="800"/>
      <c r="H41" s="2089"/>
      <c r="I41" s="804"/>
      <c r="J41" s="804"/>
      <c r="K41" s="803">
        <f>SUM(K42)</f>
        <v>1</v>
      </c>
      <c r="L41" s="249">
        <f>SUM(L42:L42)</f>
        <v>1</v>
      </c>
      <c r="M41" s="474">
        <f>SUM(M42)</f>
        <v>0</v>
      </c>
      <c r="N41" s="2178">
        <f>SUM(N42)</f>
        <v>0</v>
      </c>
      <c r="O41" s="3237">
        <f>+IF(Q41&gt;0,N41,"na")</f>
        <v>0</v>
      </c>
      <c r="P41" s="2181">
        <f>SUM(P42:P42)</f>
        <v>300000000</v>
      </c>
      <c r="Q41" s="2181">
        <f t="shared" ref="Q41:S41" si="11">SUM(Q42:Q42)</f>
        <v>300000000</v>
      </c>
      <c r="R41" s="2181">
        <f t="shared" si="11"/>
        <v>0</v>
      </c>
      <c r="S41" s="2181">
        <f t="shared" si="11"/>
        <v>0</v>
      </c>
      <c r="T41" s="2859">
        <f t="shared" si="9"/>
        <v>0</v>
      </c>
      <c r="U41" s="2859">
        <f t="shared" si="9"/>
        <v>0</v>
      </c>
      <c r="V41" s="2858"/>
      <c r="W41" s="2858"/>
      <c r="X41" s="419"/>
      <c r="Y41" s="3241" t="s">
        <v>3782</v>
      </c>
    </row>
    <row r="42" spans="1:25" ht="66">
      <c r="A42" s="3040"/>
      <c r="B42" s="3040"/>
      <c r="C42" s="3040"/>
      <c r="D42" s="3246"/>
      <c r="E42" s="2093" t="s">
        <v>3806</v>
      </c>
      <c r="F42" s="2089"/>
      <c r="G42" s="800" t="s">
        <v>3796</v>
      </c>
      <c r="H42" s="2089"/>
      <c r="I42" s="804" t="s">
        <v>3800</v>
      </c>
      <c r="J42" s="804" t="s">
        <v>3807</v>
      </c>
      <c r="K42" s="474">
        <v>1</v>
      </c>
      <c r="L42" s="2169">
        <v>1</v>
      </c>
      <c r="M42" s="474">
        <v>0</v>
      </c>
      <c r="N42" s="2178">
        <v>0</v>
      </c>
      <c r="O42" s="3237"/>
      <c r="P42" s="2181">
        <v>300000000</v>
      </c>
      <c r="Q42" s="2181">
        <f>VLOOKUP($E:$E,[1]Hoja1!$A:$E,3,0)</f>
        <v>300000000</v>
      </c>
      <c r="R42" s="2181">
        <f>VLOOKUP($E:$E,[1]Hoja1!$A:$E,4,0)</f>
        <v>0</v>
      </c>
      <c r="S42" s="2181">
        <f>VLOOKUP($E:$E,[1]Hoja1!$A:$E,5,0)</f>
        <v>0</v>
      </c>
      <c r="T42" s="2859">
        <f t="shared" si="9"/>
        <v>0</v>
      </c>
      <c r="U42" s="2859">
        <f t="shared" si="9"/>
        <v>0</v>
      </c>
      <c r="V42" s="2857"/>
      <c r="W42" s="2857"/>
      <c r="X42" s="419"/>
      <c r="Y42" s="3241"/>
    </row>
    <row r="43" spans="1:25" ht="14.4">
      <c r="A43" s="3040">
        <v>4161</v>
      </c>
      <c r="B43" s="3040"/>
      <c r="C43" s="3040" t="s">
        <v>123</v>
      </c>
      <c r="D43" s="3246" t="s">
        <v>3808</v>
      </c>
      <c r="E43" s="2093" t="s">
        <v>3809</v>
      </c>
      <c r="F43" s="2089"/>
      <c r="G43" s="800"/>
      <c r="H43" s="2089"/>
      <c r="I43" s="804"/>
      <c r="J43" s="804"/>
      <c r="K43" s="803">
        <f>SUM(K44)</f>
        <v>1</v>
      </c>
      <c r="L43" s="249">
        <f>SUM(L44:L44)</f>
        <v>1</v>
      </c>
      <c r="M43" s="474">
        <f>SUM(M44)</f>
        <v>0</v>
      </c>
      <c r="N43" s="2178">
        <f>SUM(N44)</f>
        <v>0</v>
      </c>
      <c r="O43" s="3237">
        <f>+IF(Q43&gt;0,N43,"na")</f>
        <v>0</v>
      </c>
      <c r="P43" s="2181">
        <f>SUM(P44:P44)</f>
        <v>521181914</v>
      </c>
      <c r="Q43" s="2181">
        <f t="shared" ref="Q43:S43" si="12">SUM(Q44:Q44)</f>
        <v>521181914</v>
      </c>
      <c r="R43" s="2181">
        <f t="shared" si="12"/>
        <v>0</v>
      </c>
      <c r="S43" s="2181">
        <f t="shared" si="12"/>
        <v>0</v>
      </c>
      <c r="T43" s="2859">
        <f t="shared" si="9"/>
        <v>0</v>
      </c>
      <c r="U43" s="2859">
        <f t="shared" si="9"/>
        <v>0</v>
      </c>
      <c r="V43" s="2858"/>
      <c r="W43" s="2858"/>
      <c r="X43" s="419"/>
      <c r="Y43" s="3026" t="s">
        <v>3782</v>
      </c>
    </row>
    <row r="44" spans="1:25" ht="66">
      <c r="A44" s="3040"/>
      <c r="B44" s="3040"/>
      <c r="C44" s="3040"/>
      <c r="D44" s="3246"/>
      <c r="E44" s="2093" t="s">
        <v>3810</v>
      </c>
      <c r="F44" s="2089"/>
      <c r="G44" s="800"/>
      <c r="H44" s="2089"/>
      <c r="I44" s="804" t="s">
        <v>3811</v>
      </c>
      <c r="J44" s="804" t="s">
        <v>3794</v>
      </c>
      <c r="K44" s="474">
        <v>1</v>
      </c>
      <c r="L44" s="2169">
        <v>1</v>
      </c>
      <c r="M44" s="474">
        <v>0</v>
      </c>
      <c r="N44" s="2178">
        <v>0</v>
      </c>
      <c r="O44" s="3237"/>
      <c r="P44" s="2181">
        <v>521181914</v>
      </c>
      <c r="Q44" s="2181">
        <f>VLOOKUP($E:$E,[1]Hoja1!$A:$E,3,0)</f>
        <v>521181914</v>
      </c>
      <c r="R44" s="2181">
        <f>VLOOKUP($E:$E,[1]Hoja1!$A:$E,4,0)</f>
        <v>0</v>
      </c>
      <c r="S44" s="2181">
        <f>VLOOKUP($E:$E,[1]Hoja1!$A:$E,5,0)</f>
        <v>0</v>
      </c>
      <c r="T44" s="2859">
        <f t="shared" si="9"/>
        <v>0</v>
      </c>
      <c r="U44" s="2859">
        <f t="shared" si="9"/>
        <v>0</v>
      </c>
      <c r="V44" s="2857"/>
      <c r="W44" s="2857"/>
      <c r="X44" s="419"/>
      <c r="Y44" s="3026"/>
    </row>
    <row r="45" spans="1:25" ht="14.4">
      <c r="A45" s="3040">
        <v>4161</v>
      </c>
      <c r="B45" s="3040"/>
      <c r="C45" s="3040" t="s">
        <v>123</v>
      </c>
      <c r="D45" s="3246" t="s">
        <v>3812</v>
      </c>
      <c r="E45" s="2093" t="s">
        <v>3813</v>
      </c>
      <c r="F45" s="2089"/>
      <c r="G45" s="213"/>
      <c r="H45" s="2089"/>
      <c r="I45" s="804"/>
      <c r="J45" s="804"/>
      <c r="K45" s="803">
        <f>SUM(K46)</f>
        <v>1</v>
      </c>
      <c r="L45" s="249">
        <f>SUM(L46)</f>
        <v>1</v>
      </c>
      <c r="M45" s="474">
        <f>SUM(M46)</f>
        <v>0</v>
      </c>
      <c r="N45" s="2178">
        <f>SUM(N46)</f>
        <v>0</v>
      </c>
      <c r="O45" s="3237">
        <f>+IF(Q45&gt;0,N45,"na")</f>
        <v>0</v>
      </c>
      <c r="P45" s="2181">
        <f>SUM(P46:P46)</f>
        <v>1500000000</v>
      </c>
      <c r="Q45" s="2181">
        <f t="shared" ref="Q45:S45" si="13">SUM(Q46:Q46)</f>
        <v>1500000000</v>
      </c>
      <c r="R45" s="2181">
        <f t="shared" si="13"/>
        <v>0</v>
      </c>
      <c r="S45" s="2181">
        <f t="shared" si="13"/>
        <v>0</v>
      </c>
      <c r="T45" s="2859">
        <f t="shared" si="9"/>
        <v>0</v>
      </c>
      <c r="U45" s="2859">
        <f t="shared" si="9"/>
        <v>0</v>
      </c>
      <c r="V45" s="2858"/>
      <c r="W45" s="2858"/>
      <c r="X45" s="419"/>
      <c r="Y45" s="3242" t="s">
        <v>3782</v>
      </c>
    </row>
    <row r="46" spans="1:25" ht="66">
      <c r="A46" s="3040"/>
      <c r="B46" s="3040"/>
      <c r="C46" s="3040"/>
      <c r="D46" s="3246"/>
      <c r="E46" s="2093" t="s">
        <v>3814</v>
      </c>
      <c r="F46" s="2089"/>
      <c r="G46" s="800" t="s">
        <v>3796</v>
      </c>
      <c r="H46" s="2089"/>
      <c r="I46" s="804" t="s">
        <v>3800</v>
      </c>
      <c r="J46" s="804" t="s">
        <v>3815</v>
      </c>
      <c r="K46" s="474">
        <v>1</v>
      </c>
      <c r="L46" s="2169">
        <v>1</v>
      </c>
      <c r="M46" s="474">
        <v>0</v>
      </c>
      <c r="N46" s="2178">
        <v>0</v>
      </c>
      <c r="O46" s="3237"/>
      <c r="P46" s="2181">
        <v>1500000000</v>
      </c>
      <c r="Q46" s="2181">
        <f>VLOOKUP($E:$E,[1]Hoja1!$A:$E,3,0)</f>
        <v>1500000000</v>
      </c>
      <c r="R46" s="2181">
        <f>VLOOKUP($E:$E,[1]Hoja1!$A:$E,4,0)</f>
        <v>0</v>
      </c>
      <c r="S46" s="2181">
        <f>VLOOKUP($E:$E,[1]Hoja1!$A:$E,5,0)</f>
        <v>0</v>
      </c>
      <c r="T46" s="2859">
        <f t="shared" si="9"/>
        <v>0</v>
      </c>
      <c r="U46" s="2859">
        <f t="shared" si="9"/>
        <v>0</v>
      </c>
      <c r="V46" s="2857"/>
      <c r="W46" s="2857"/>
      <c r="X46" s="419"/>
      <c r="Y46" s="3242"/>
    </row>
    <row r="47" spans="1:25" ht="14.4">
      <c r="A47" s="3040">
        <v>4161</v>
      </c>
      <c r="B47" s="3040"/>
      <c r="C47" s="3040" t="s">
        <v>123</v>
      </c>
      <c r="D47" s="3246" t="s">
        <v>3816</v>
      </c>
      <c r="E47" s="2093" t="s">
        <v>3817</v>
      </c>
      <c r="F47" s="2089"/>
      <c r="G47" s="800"/>
      <c r="H47" s="2089"/>
      <c r="I47" s="804"/>
      <c r="J47" s="804"/>
      <c r="K47" s="803">
        <f>SUM(K48)</f>
        <v>1</v>
      </c>
      <c r="L47" s="249">
        <f>SUM(L48:L48)</f>
        <v>1</v>
      </c>
      <c r="M47" s="474">
        <f>SUM(M48)</f>
        <v>0</v>
      </c>
      <c r="N47" s="2178">
        <f>SUM(N48)</f>
        <v>0.3</v>
      </c>
      <c r="O47" s="3237">
        <f>+IF(Q47&gt;0,N47,"na")</f>
        <v>0.3</v>
      </c>
      <c r="P47" s="2181">
        <f>SUM(P48:P48)</f>
        <v>4499002992</v>
      </c>
      <c r="Q47" s="2181">
        <f t="shared" ref="Q47:S47" si="14">SUM(Q48:Q48)</f>
        <v>4993692302</v>
      </c>
      <c r="R47" s="2181">
        <f t="shared" si="14"/>
        <v>2249977320</v>
      </c>
      <c r="S47" s="2181">
        <f t="shared" si="14"/>
        <v>0</v>
      </c>
      <c r="T47" s="2859">
        <f t="shared" si="9"/>
        <v>0.45056386816201555</v>
      </c>
      <c r="U47" s="2859">
        <f t="shared" si="9"/>
        <v>0</v>
      </c>
      <c r="V47" s="2858"/>
      <c r="W47" s="2858"/>
      <c r="X47" s="419"/>
      <c r="Y47" s="3026" t="s">
        <v>3782</v>
      </c>
    </row>
    <row r="48" spans="1:25" ht="66">
      <c r="A48" s="3040"/>
      <c r="B48" s="3040"/>
      <c r="C48" s="3040"/>
      <c r="D48" s="3246"/>
      <c r="E48" s="2093" t="s">
        <v>3818</v>
      </c>
      <c r="F48" s="2089"/>
      <c r="G48" s="800" t="s">
        <v>3796</v>
      </c>
      <c r="H48" s="2089"/>
      <c r="I48" s="804" t="s">
        <v>3800</v>
      </c>
      <c r="J48" s="804" t="s">
        <v>3794</v>
      </c>
      <c r="K48" s="474">
        <v>1</v>
      </c>
      <c r="L48" s="2169">
        <v>1</v>
      </c>
      <c r="M48" s="474">
        <v>0</v>
      </c>
      <c r="N48" s="2178">
        <v>0.3</v>
      </c>
      <c r="O48" s="3237"/>
      <c r="P48" s="2181">
        <v>4499002992</v>
      </c>
      <c r="Q48" s="2181">
        <f>VLOOKUP($E:$E,[1]Hoja1!$A:$E,3,0)</f>
        <v>4993692302</v>
      </c>
      <c r="R48" s="2181">
        <f>VLOOKUP($E:$E,[1]Hoja1!$A:$E,4,0)</f>
        <v>2249977320</v>
      </c>
      <c r="S48" s="2181">
        <f>VLOOKUP($E:$E,[1]Hoja1!$A:$E,5,0)</f>
        <v>0</v>
      </c>
      <c r="T48" s="2859">
        <f t="shared" si="9"/>
        <v>0.45056386816201555</v>
      </c>
      <c r="U48" s="2859">
        <f t="shared" si="9"/>
        <v>0</v>
      </c>
      <c r="V48" s="2857">
        <v>45309</v>
      </c>
      <c r="W48" s="2857">
        <v>45657</v>
      </c>
      <c r="X48" s="419" t="s">
        <v>3819</v>
      </c>
      <c r="Y48" s="3026"/>
    </row>
    <row r="49" spans="1:25" ht="14.4">
      <c r="A49" s="3040">
        <v>4161</v>
      </c>
      <c r="B49" s="3040"/>
      <c r="C49" s="3040" t="s">
        <v>123</v>
      </c>
      <c r="D49" s="3246" t="s">
        <v>3820</v>
      </c>
      <c r="E49" s="2093" t="s">
        <v>3821</v>
      </c>
      <c r="F49" s="2089"/>
      <c r="G49" s="800"/>
      <c r="H49" s="2089"/>
      <c r="I49" s="804"/>
      <c r="J49" s="804"/>
      <c r="K49" s="803">
        <f>SUM(K50)</f>
        <v>1</v>
      </c>
      <c r="L49" s="249">
        <f>SUM(L50:L50)</f>
        <v>1</v>
      </c>
      <c r="M49" s="474">
        <f>SUM(M50)</f>
        <v>0</v>
      </c>
      <c r="N49" s="2178">
        <f>SUM(N50)</f>
        <v>0</v>
      </c>
      <c r="O49" s="3237">
        <f>+IF(Q49&gt;0,N49,"na")</f>
        <v>0</v>
      </c>
      <c r="P49" s="2181">
        <f>SUM(P50)</f>
        <v>22000000</v>
      </c>
      <c r="Q49" s="2181">
        <f t="shared" ref="Q49:S49" si="15">SUM(Q50)</f>
        <v>22000000</v>
      </c>
      <c r="R49" s="2181">
        <f t="shared" si="15"/>
        <v>0</v>
      </c>
      <c r="S49" s="2181">
        <f t="shared" si="15"/>
        <v>0</v>
      </c>
      <c r="T49" s="2859">
        <f t="shared" si="9"/>
        <v>0</v>
      </c>
      <c r="U49" s="2859">
        <f t="shared" si="9"/>
        <v>0</v>
      </c>
      <c r="V49" s="2858"/>
      <c r="W49" s="2858"/>
      <c r="X49" s="419"/>
      <c r="Y49" s="3026" t="s">
        <v>3782</v>
      </c>
    </row>
    <row r="50" spans="1:25" ht="66">
      <c r="A50" s="3040"/>
      <c r="B50" s="3040"/>
      <c r="C50" s="3040"/>
      <c r="D50" s="3246"/>
      <c r="E50" s="2093" t="s">
        <v>3822</v>
      </c>
      <c r="F50" s="2089"/>
      <c r="G50" s="800" t="s">
        <v>3796</v>
      </c>
      <c r="H50" s="2089"/>
      <c r="I50" s="804" t="s">
        <v>3800</v>
      </c>
      <c r="J50" s="804" t="s">
        <v>3823</v>
      </c>
      <c r="K50" s="474">
        <v>1</v>
      </c>
      <c r="L50" s="2169">
        <v>1</v>
      </c>
      <c r="M50" s="474">
        <v>0</v>
      </c>
      <c r="N50" s="2178">
        <v>0</v>
      </c>
      <c r="O50" s="3237"/>
      <c r="P50" s="2181">
        <v>22000000</v>
      </c>
      <c r="Q50" s="2181">
        <f>VLOOKUP($E:$E,[1]Hoja1!$A:$E,3,0)</f>
        <v>22000000</v>
      </c>
      <c r="R50" s="2181">
        <f>VLOOKUP($E:$E,[1]Hoja1!$A:$E,4,0)</f>
        <v>0</v>
      </c>
      <c r="S50" s="2181">
        <f>VLOOKUP($E:$E,[1]Hoja1!$A:$E,5,0)</f>
        <v>0</v>
      </c>
      <c r="T50" s="2859">
        <f t="shared" si="9"/>
        <v>0</v>
      </c>
      <c r="U50" s="2859">
        <f t="shared" si="9"/>
        <v>0</v>
      </c>
      <c r="V50" s="2857"/>
      <c r="W50" s="2857"/>
      <c r="X50" s="419"/>
      <c r="Y50" s="3026"/>
    </row>
    <row r="51" spans="1:25" ht="14.4">
      <c r="A51" s="1790"/>
      <c r="B51" s="2087">
        <v>52010030005</v>
      </c>
      <c r="C51" s="2087" t="s">
        <v>117</v>
      </c>
      <c r="D51" s="845" t="s">
        <v>3824</v>
      </c>
      <c r="E51" s="2088"/>
      <c r="F51" s="2089"/>
      <c r="G51" s="804"/>
      <c r="H51" s="2089"/>
      <c r="I51" s="591"/>
      <c r="J51" s="591"/>
      <c r="K51" s="591"/>
      <c r="L51" s="2170"/>
      <c r="M51" s="474"/>
      <c r="N51" s="2178"/>
      <c r="O51" s="2179"/>
      <c r="P51" s="2098"/>
      <c r="Q51" s="2182"/>
      <c r="R51" s="2182"/>
      <c r="S51" s="2182"/>
      <c r="T51" s="2858"/>
      <c r="U51" s="2858"/>
      <c r="V51" s="2857"/>
      <c r="W51" s="2857"/>
      <c r="X51" s="419"/>
      <c r="Y51" s="591"/>
    </row>
    <row r="52" spans="1:25" ht="14.4">
      <c r="A52" s="3040">
        <v>4161</v>
      </c>
      <c r="B52" s="3040"/>
      <c r="C52" s="3040" t="s">
        <v>123</v>
      </c>
      <c r="D52" s="3042" t="s">
        <v>3825</v>
      </c>
      <c r="E52" s="2093" t="s">
        <v>3826</v>
      </c>
      <c r="F52" s="2089"/>
      <c r="G52" s="804"/>
      <c r="H52" s="2089"/>
      <c r="I52" s="804"/>
      <c r="J52" s="804"/>
      <c r="K52" s="803">
        <f>SUM(K53)</f>
        <v>5</v>
      </c>
      <c r="L52" s="249">
        <f>SUM(L53:L53)</f>
        <v>1</v>
      </c>
      <c r="M52" s="474">
        <f>SUM(M53)</f>
        <v>0</v>
      </c>
      <c r="N52" s="2178">
        <f>SUM(N53)</f>
        <v>0</v>
      </c>
      <c r="O52" s="3237">
        <f>+IF(Q52&gt;0,N52,"na")</f>
        <v>0</v>
      </c>
      <c r="P52" s="2181">
        <f>SUM(P53:P53)</f>
        <v>2100000000</v>
      </c>
      <c r="Q52" s="2181">
        <f t="shared" ref="Q52:S52" si="16">SUM(Q53:Q53)</f>
        <v>2100000000</v>
      </c>
      <c r="R52" s="2181">
        <f t="shared" si="16"/>
        <v>0</v>
      </c>
      <c r="S52" s="2181">
        <f t="shared" si="16"/>
        <v>0</v>
      </c>
      <c r="T52" s="2859">
        <f t="shared" ref="T52:U55" si="17">+IF(Q52&gt;0,R52/Q52,0)</f>
        <v>0</v>
      </c>
      <c r="U52" s="2859">
        <f t="shared" si="17"/>
        <v>0</v>
      </c>
      <c r="V52" s="2858"/>
      <c r="W52" s="2858"/>
      <c r="X52" s="419"/>
      <c r="Y52" s="3026" t="s">
        <v>3782</v>
      </c>
    </row>
    <row r="53" spans="1:25" ht="66">
      <c r="A53" s="3040"/>
      <c r="B53" s="3040"/>
      <c r="C53" s="3040"/>
      <c r="D53" s="3042"/>
      <c r="E53" s="2093" t="s">
        <v>3827</v>
      </c>
      <c r="F53" s="2089"/>
      <c r="G53" s="804" t="s">
        <v>3824</v>
      </c>
      <c r="H53" s="2089"/>
      <c r="I53" s="804" t="s">
        <v>3828</v>
      </c>
      <c r="J53" s="804" t="s">
        <v>3829</v>
      </c>
      <c r="K53" s="474">
        <v>5</v>
      </c>
      <c r="L53" s="2169">
        <v>1</v>
      </c>
      <c r="M53" s="474">
        <v>0</v>
      </c>
      <c r="N53" s="2178">
        <v>0</v>
      </c>
      <c r="O53" s="3237"/>
      <c r="P53" s="2181">
        <v>2100000000</v>
      </c>
      <c r="Q53" s="2181">
        <f>VLOOKUP($E:$E,[1]Hoja1!$A:$E,3,0)</f>
        <v>2100000000</v>
      </c>
      <c r="R53" s="2181">
        <f>VLOOKUP($E:$E,[1]Hoja1!$A:$E,4,0)</f>
        <v>0</v>
      </c>
      <c r="S53" s="2181">
        <f>VLOOKUP($E:$E,[1]Hoja1!$A:$E,5,0)</f>
        <v>0</v>
      </c>
      <c r="T53" s="2859">
        <f t="shared" si="17"/>
        <v>0</v>
      </c>
      <c r="U53" s="2859">
        <f t="shared" si="17"/>
        <v>0</v>
      </c>
      <c r="V53" s="2857"/>
      <c r="W53" s="2857"/>
      <c r="X53" s="419"/>
      <c r="Y53" s="3026"/>
    </row>
    <row r="54" spans="1:25" ht="14.4">
      <c r="A54" s="3040">
        <v>4161</v>
      </c>
      <c r="B54" s="3040"/>
      <c r="C54" s="3040" t="s">
        <v>123</v>
      </c>
      <c r="D54" s="3042" t="s">
        <v>3830</v>
      </c>
      <c r="E54" s="2093" t="s">
        <v>3831</v>
      </c>
      <c r="F54" s="2089"/>
      <c r="G54" s="804"/>
      <c r="H54" s="2089"/>
      <c r="I54" s="804"/>
      <c r="J54" s="804"/>
      <c r="K54" s="803">
        <f>SUM(K55)</f>
        <v>1</v>
      </c>
      <c r="L54" s="249">
        <f>SUM(L55)</f>
        <v>1</v>
      </c>
      <c r="M54" s="474">
        <f>SUM(M55)</f>
        <v>0</v>
      </c>
      <c r="N54" s="2178">
        <f>SUM(N55)</f>
        <v>0</v>
      </c>
      <c r="O54" s="3237">
        <f>+IF(Q54&gt;0,N54,"na")</f>
        <v>0</v>
      </c>
      <c r="P54" s="2181">
        <f>SUM(P55)</f>
        <v>962475477</v>
      </c>
      <c r="Q54" s="2181">
        <f t="shared" ref="Q54:S54" si="18">SUM(Q55)</f>
        <v>962475477</v>
      </c>
      <c r="R54" s="2181">
        <f t="shared" si="18"/>
        <v>0</v>
      </c>
      <c r="S54" s="2181">
        <f t="shared" si="18"/>
        <v>0</v>
      </c>
      <c r="T54" s="2859">
        <f t="shared" si="17"/>
        <v>0</v>
      </c>
      <c r="U54" s="2859">
        <f t="shared" si="17"/>
        <v>0</v>
      </c>
      <c r="V54" s="2858"/>
      <c r="W54" s="2858"/>
      <c r="X54" s="419"/>
      <c r="Y54" s="3026" t="s">
        <v>3782</v>
      </c>
    </row>
    <row r="55" spans="1:25" ht="52.8">
      <c r="A55" s="3040"/>
      <c r="B55" s="3040"/>
      <c r="C55" s="3040"/>
      <c r="D55" s="3042"/>
      <c r="E55" s="2093" t="s">
        <v>3832</v>
      </c>
      <c r="F55" s="2089"/>
      <c r="G55" s="804" t="s">
        <v>3824</v>
      </c>
      <c r="H55" s="2089"/>
      <c r="I55" s="804" t="s">
        <v>3833</v>
      </c>
      <c r="J55" s="804" t="s">
        <v>3829</v>
      </c>
      <c r="K55" s="474">
        <v>1</v>
      </c>
      <c r="L55" s="2169">
        <v>1</v>
      </c>
      <c r="M55" s="474">
        <v>0</v>
      </c>
      <c r="N55" s="2178">
        <v>0</v>
      </c>
      <c r="O55" s="3237"/>
      <c r="P55" s="2181">
        <v>962475477</v>
      </c>
      <c r="Q55" s="2181">
        <f>VLOOKUP($E:$E,[1]Hoja1!$A:$E,3,0)</f>
        <v>962475477</v>
      </c>
      <c r="R55" s="2181">
        <f>VLOOKUP($E:$E,[1]Hoja1!$A:$E,4,0)</f>
        <v>0</v>
      </c>
      <c r="S55" s="2181">
        <f>VLOOKUP($E:$E,[1]Hoja1!$A:$E,5,0)</f>
        <v>0</v>
      </c>
      <c r="T55" s="2859">
        <f t="shared" si="17"/>
        <v>0</v>
      </c>
      <c r="U55" s="2859">
        <f t="shared" si="17"/>
        <v>0</v>
      </c>
      <c r="V55" s="2857"/>
      <c r="W55" s="2857"/>
      <c r="X55" s="419"/>
      <c r="Y55" s="3026"/>
    </row>
    <row r="56" spans="1:25" ht="27.6">
      <c r="A56" s="1790"/>
      <c r="B56" s="2087">
        <v>52010030006</v>
      </c>
      <c r="C56" s="2087" t="s">
        <v>117</v>
      </c>
      <c r="D56" s="845" t="s">
        <v>3834</v>
      </c>
      <c r="E56" s="2088"/>
      <c r="F56" s="2089"/>
      <c r="G56" s="804"/>
      <c r="H56" s="2089"/>
      <c r="I56" s="591"/>
      <c r="J56" s="591"/>
      <c r="K56" s="591"/>
      <c r="L56" s="2170"/>
      <c r="M56" s="474"/>
      <c r="N56" s="2178"/>
      <c r="O56" s="2179"/>
      <c r="P56" s="2098"/>
      <c r="Q56" s="2182"/>
      <c r="R56" s="2182"/>
      <c r="S56" s="2182"/>
      <c r="T56" s="2858"/>
      <c r="U56" s="2858"/>
      <c r="V56" s="2857"/>
      <c r="W56" s="2857"/>
      <c r="X56" s="419"/>
      <c r="Y56" s="591"/>
    </row>
    <row r="57" spans="1:25" ht="14.4">
      <c r="A57" s="3040">
        <v>4161</v>
      </c>
      <c r="B57" s="3040"/>
      <c r="C57" s="3040" t="s">
        <v>123</v>
      </c>
      <c r="D57" s="3042" t="s">
        <v>3835</v>
      </c>
      <c r="E57" s="2093" t="s">
        <v>3836</v>
      </c>
      <c r="F57" s="2089"/>
      <c r="G57" s="213"/>
      <c r="H57" s="2089"/>
      <c r="I57" s="804"/>
      <c r="J57" s="804"/>
      <c r="K57" s="474">
        <f>SUM(K58)</f>
        <v>9</v>
      </c>
      <c r="L57" s="2169">
        <f>SUM(L58:L58)</f>
        <v>1</v>
      </c>
      <c r="M57" s="474">
        <f>SUM(M58)</f>
        <v>3</v>
      </c>
      <c r="N57" s="2178">
        <f>SUM(N58)</f>
        <v>0.33333333333333331</v>
      </c>
      <c r="O57" s="3237">
        <f>+IF(Q57&gt;0,N57,"na")</f>
        <v>0.33333333333333331</v>
      </c>
      <c r="P57" s="2181">
        <f>SUM(P58)</f>
        <v>1089094000</v>
      </c>
      <c r="Q57" s="2181">
        <f t="shared" ref="Q57:S57" si="19">SUM(Q58)</f>
        <v>1089094000</v>
      </c>
      <c r="R57" s="2181">
        <f t="shared" si="19"/>
        <v>572612500</v>
      </c>
      <c r="S57" s="2181">
        <f t="shared" si="19"/>
        <v>351275500</v>
      </c>
      <c r="T57" s="2859">
        <f>+IF(Q57&gt;0,R57/Q57,0)</f>
        <v>0.52576958462722223</v>
      </c>
      <c r="U57" s="2859">
        <f>+IF(R57&gt;0,S57/R57,0)</f>
        <v>0.61346111026217554</v>
      </c>
      <c r="V57" s="2858"/>
      <c r="W57" s="2858"/>
      <c r="X57" s="419"/>
      <c r="Y57" s="3242" t="s">
        <v>3782</v>
      </c>
    </row>
    <row r="58" spans="1:25" ht="92.4">
      <c r="A58" s="3040"/>
      <c r="B58" s="3040"/>
      <c r="C58" s="3040"/>
      <c r="D58" s="3042"/>
      <c r="E58" s="2093" t="s">
        <v>3837</v>
      </c>
      <c r="F58" s="2089"/>
      <c r="G58" s="804" t="s">
        <v>3834</v>
      </c>
      <c r="H58" s="2089"/>
      <c r="I58" s="804" t="s">
        <v>3838</v>
      </c>
      <c r="J58" s="804" t="s">
        <v>3839</v>
      </c>
      <c r="K58" s="474">
        <v>9</v>
      </c>
      <c r="L58" s="2169">
        <v>1</v>
      </c>
      <c r="M58" s="474">
        <v>3</v>
      </c>
      <c r="N58" s="2178">
        <f>+M58/K58</f>
        <v>0.33333333333333331</v>
      </c>
      <c r="O58" s="3237"/>
      <c r="P58" s="2181">
        <v>1089094000</v>
      </c>
      <c r="Q58" s="2181">
        <f>VLOOKUP($E:$E,[1]Hoja1!$A:$E,3,0)</f>
        <v>1089094000</v>
      </c>
      <c r="R58" s="2181">
        <f>VLOOKUP($E:$E,[1]Hoja1!$A:$E,4,0)</f>
        <v>572612500</v>
      </c>
      <c r="S58" s="2181">
        <f>VLOOKUP($E:$E,[1]Hoja1!$A:$E,5,0)</f>
        <v>351275500</v>
      </c>
      <c r="T58" s="2859">
        <f>+IF(Q58&gt;0,R58/Q58,0)</f>
        <v>0.52576958462722223</v>
      </c>
      <c r="U58" s="2859">
        <f>+IF(R58&gt;0,S58/R58,0)</f>
        <v>0.61346111026217554</v>
      </c>
      <c r="V58" s="2857">
        <v>45309</v>
      </c>
      <c r="W58" s="2857">
        <v>45657</v>
      </c>
      <c r="X58" s="419" t="s">
        <v>3840</v>
      </c>
      <c r="Y58" s="3242"/>
    </row>
    <row r="59" spans="1:25" ht="14.4">
      <c r="A59" s="1790"/>
      <c r="B59" s="2087">
        <v>52010030007</v>
      </c>
      <c r="C59" s="2087" t="s">
        <v>117</v>
      </c>
      <c r="D59" s="845" t="s">
        <v>3841</v>
      </c>
      <c r="E59" s="2088"/>
      <c r="F59" s="2089"/>
      <c r="G59" s="804"/>
      <c r="H59" s="2089"/>
      <c r="I59" s="591"/>
      <c r="J59" s="591"/>
      <c r="K59" s="2174"/>
      <c r="L59" s="2170"/>
      <c r="M59" s="474"/>
      <c r="N59" s="2178"/>
      <c r="O59" s="2179"/>
      <c r="P59" s="2098"/>
      <c r="Q59" s="2182"/>
      <c r="R59" s="2182"/>
      <c r="S59" s="2182"/>
      <c r="T59" s="2858"/>
      <c r="U59" s="2858"/>
      <c r="V59" s="2857"/>
      <c r="W59" s="2857"/>
      <c r="X59" s="419"/>
      <c r="Y59" s="591"/>
    </row>
    <row r="60" spans="1:25" ht="14.4">
      <c r="A60" s="3026">
        <v>4161</v>
      </c>
      <c r="B60" s="2938"/>
      <c r="C60" s="3040" t="s">
        <v>123</v>
      </c>
      <c r="D60" s="3042" t="s">
        <v>3842</v>
      </c>
      <c r="E60" s="2093" t="s">
        <v>3843</v>
      </c>
      <c r="F60" s="2089"/>
      <c r="G60" s="213"/>
      <c r="H60" s="2089"/>
      <c r="I60" s="804"/>
      <c r="J60" s="804"/>
      <c r="K60" s="803">
        <f>SUM(K61)</f>
        <v>16</v>
      </c>
      <c r="L60" s="249">
        <f>SUM(L61:L61)</f>
        <v>1</v>
      </c>
      <c r="M60" s="474">
        <f>SUM(M61)</f>
        <v>0</v>
      </c>
      <c r="N60" s="2178">
        <f>SUM(N61)</f>
        <v>0</v>
      </c>
      <c r="O60" s="3237">
        <f>+IF(Q60&gt;0,N60,"na")</f>
        <v>0</v>
      </c>
      <c r="P60" s="2181">
        <f>SUM(P61:P61)</f>
        <v>755417240</v>
      </c>
      <c r="Q60" s="2181">
        <f t="shared" ref="Q60:S60" si="20">SUM(Q61:Q61)</f>
        <v>755417240</v>
      </c>
      <c r="R60" s="2181">
        <f t="shared" si="20"/>
        <v>0</v>
      </c>
      <c r="S60" s="2181">
        <f t="shared" si="20"/>
        <v>0</v>
      </c>
      <c r="T60" s="2859">
        <f t="shared" ref="T60:U66" si="21">+IF(Q60&gt;0,R60/Q60,0)</f>
        <v>0</v>
      </c>
      <c r="U60" s="2859">
        <f t="shared" si="21"/>
        <v>0</v>
      </c>
      <c r="V60" s="2858"/>
      <c r="W60" s="2858"/>
      <c r="X60" s="419"/>
      <c r="Y60" s="3026" t="s">
        <v>3782</v>
      </c>
    </row>
    <row r="61" spans="1:25" ht="66">
      <c r="A61" s="3026"/>
      <c r="B61" s="2938"/>
      <c r="C61" s="3040"/>
      <c r="D61" s="3042"/>
      <c r="E61" s="2093" t="s">
        <v>3844</v>
      </c>
      <c r="F61" s="2089"/>
      <c r="G61" s="804" t="s">
        <v>3841</v>
      </c>
      <c r="H61" s="2089"/>
      <c r="I61" s="804" t="s">
        <v>3845</v>
      </c>
      <c r="J61" s="804" t="s">
        <v>3846</v>
      </c>
      <c r="K61" s="474">
        <v>16</v>
      </c>
      <c r="L61" s="2169">
        <v>1</v>
      </c>
      <c r="M61" s="474">
        <v>0</v>
      </c>
      <c r="N61" s="2178">
        <v>0</v>
      </c>
      <c r="O61" s="3237"/>
      <c r="P61" s="2181">
        <v>755417240</v>
      </c>
      <c r="Q61" s="2181">
        <f>VLOOKUP($E:$E,[1]Hoja1!$A:$E,3,0)</f>
        <v>755417240</v>
      </c>
      <c r="R61" s="2181">
        <f>VLOOKUP($E:$E,[1]Hoja1!$A:$E,4,0)</f>
        <v>0</v>
      </c>
      <c r="S61" s="2181">
        <f>VLOOKUP($E:$E,[1]Hoja1!$A:$E,5,0)</f>
        <v>0</v>
      </c>
      <c r="T61" s="2859">
        <f t="shared" si="21"/>
        <v>0</v>
      </c>
      <c r="U61" s="2859">
        <f t="shared" si="21"/>
        <v>0</v>
      </c>
      <c r="V61" s="2857"/>
      <c r="W61" s="2857"/>
      <c r="X61" s="419"/>
      <c r="Y61" s="3026"/>
    </row>
    <row r="62" spans="1:25" ht="14.4">
      <c r="A62" s="3026">
        <v>4161</v>
      </c>
      <c r="B62" s="2938"/>
      <c r="C62" s="3040" t="s">
        <v>123</v>
      </c>
      <c r="D62" s="3042" t="s">
        <v>3847</v>
      </c>
      <c r="E62" s="2093" t="s">
        <v>3848</v>
      </c>
      <c r="F62" s="2089"/>
      <c r="G62" s="213"/>
      <c r="H62" s="2089"/>
      <c r="I62" s="804"/>
      <c r="J62" s="804"/>
      <c r="K62" s="803">
        <f>SUM(K64)</f>
        <v>1</v>
      </c>
      <c r="L62" s="249">
        <f>SUM(L64:L64)</f>
        <v>0.1</v>
      </c>
      <c r="M62" s="474">
        <f>SUM(M63:M64)</f>
        <v>0</v>
      </c>
      <c r="N62" s="2178">
        <f>SUM(N63:N64)</f>
        <v>0</v>
      </c>
      <c r="O62" s="3237">
        <f>+IF(Q62&gt;0,N62,"na")</f>
        <v>0</v>
      </c>
      <c r="P62" s="2181">
        <f>SUM(P63:P64)</f>
        <v>771123782</v>
      </c>
      <c r="Q62" s="2181">
        <f t="shared" ref="Q62:S62" si="22">SUM(Q63:Q64)</f>
        <v>771123782</v>
      </c>
      <c r="R62" s="2181">
        <f t="shared" si="22"/>
        <v>0</v>
      </c>
      <c r="S62" s="2181">
        <f t="shared" si="22"/>
        <v>0</v>
      </c>
      <c r="T62" s="2859">
        <f t="shared" si="21"/>
        <v>0</v>
      </c>
      <c r="U62" s="2859">
        <f t="shared" si="21"/>
        <v>0</v>
      </c>
      <c r="V62" s="2858"/>
      <c r="W62" s="2858"/>
      <c r="X62" s="419"/>
      <c r="Y62" s="3026" t="s">
        <v>3782</v>
      </c>
    </row>
    <row r="63" spans="1:25" ht="52.8">
      <c r="A63" s="3026"/>
      <c r="B63" s="2938"/>
      <c r="C63" s="3040"/>
      <c r="D63" s="3042"/>
      <c r="E63" s="2093" t="s">
        <v>3849</v>
      </c>
      <c r="F63" s="2089"/>
      <c r="G63" s="804" t="s">
        <v>3841</v>
      </c>
      <c r="H63" s="2089"/>
      <c r="I63" s="804" t="s">
        <v>3850</v>
      </c>
      <c r="J63" s="804" t="s">
        <v>3851</v>
      </c>
      <c r="K63" s="474">
        <v>26</v>
      </c>
      <c r="L63" s="2169">
        <v>0.9</v>
      </c>
      <c r="M63" s="474">
        <v>0</v>
      </c>
      <c r="N63" s="2178">
        <v>0</v>
      </c>
      <c r="O63" s="3237"/>
      <c r="P63" s="2181">
        <v>586226320</v>
      </c>
      <c r="Q63" s="2181">
        <f>VLOOKUP($E:$E,[1]Hoja1!$A:$E,3,0)</f>
        <v>586226320</v>
      </c>
      <c r="R63" s="2181">
        <f>VLOOKUP($E:$E,[1]Hoja1!$A:$E,4,0)</f>
        <v>0</v>
      </c>
      <c r="S63" s="2181">
        <f>VLOOKUP($E:$E,[1]Hoja1!$A:$E,5,0)</f>
        <v>0</v>
      </c>
      <c r="T63" s="2859">
        <f t="shared" si="21"/>
        <v>0</v>
      </c>
      <c r="U63" s="2859">
        <f t="shared" si="21"/>
        <v>0</v>
      </c>
      <c r="V63" s="2857"/>
      <c r="W63" s="2857"/>
      <c r="X63" s="419"/>
      <c r="Y63" s="3026"/>
    </row>
    <row r="64" spans="1:25" ht="52.8">
      <c r="A64" s="3026"/>
      <c r="B64" s="2938"/>
      <c r="C64" s="3040"/>
      <c r="D64" s="3042"/>
      <c r="E64" s="2093" t="s">
        <v>3852</v>
      </c>
      <c r="F64" s="2089"/>
      <c r="G64" s="804"/>
      <c r="H64" s="2089"/>
      <c r="I64" s="804" t="s">
        <v>3853</v>
      </c>
      <c r="J64" s="804" t="s">
        <v>3854</v>
      </c>
      <c r="K64" s="474">
        <v>1</v>
      </c>
      <c r="L64" s="2169">
        <v>0.1</v>
      </c>
      <c r="M64" s="474">
        <v>0</v>
      </c>
      <c r="N64" s="2178">
        <v>0</v>
      </c>
      <c r="O64" s="3237"/>
      <c r="P64" s="2181">
        <v>184897462</v>
      </c>
      <c r="Q64" s="2181">
        <f>VLOOKUP($E:$E,[1]Hoja1!$A:$E,3,0)</f>
        <v>184897462</v>
      </c>
      <c r="R64" s="2181">
        <f>VLOOKUP($E:$E,[1]Hoja1!$A:$E,4,0)</f>
        <v>0</v>
      </c>
      <c r="S64" s="2181">
        <f>VLOOKUP($E:$E,[1]Hoja1!$A:$E,5,0)</f>
        <v>0</v>
      </c>
      <c r="T64" s="2859">
        <f t="shared" si="21"/>
        <v>0</v>
      </c>
      <c r="U64" s="2859">
        <f t="shared" si="21"/>
        <v>0</v>
      </c>
      <c r="V64" s="2857"/>
      <c r="W64" s="2857"/>
      <c r="X64" s="419"/>
      <c r="Y64" s="3026"/>
    </row>
    <row r="65" spans="1:25" ht="14.4">
      <c r="A65" s="3026">
        <v>4161</v>
      </c>
      <c r="B65" s="2938"/>
      <c r="C65" s="3040" t="s">
        <v>123</v>
      </c>
      <c r="D65" s="3042" t="s">
        <v>3855</v>
      </c>
      <c r="E65" s="2093" t="s">
        <v>3856</v>
      </c>
      <c r="F65" s="2089"/>
      <c r="G65" s="804"/>
      <c r="H65" s="2089"/>
      <c r="I65" s="804"/>
      <c r="J65" s="804"/>
      <c r="K65" s="803">
        <f>SUM(K66)</f>
        <v>64</v>
      </c>
      <c r="L65" s="249">
        <f>SUM(L66:L66)</f>
        <v>1</v>
      </c>
      <c r="M65" s="474">
        <f>SUM(M66)</f>
        <v>0</v>
      </c>
      <c r="N65" s="2178">
        <f>SUM(N66)</f>
        <v>0</v>
      </c>
      <c r="O65" s="3237">
        <f>+IF(Q65&gt;0,N65,"na")</f>
        <v>0</v>
      </c>
      <c r="P65" s="2181">
        <f>SUM(P66:P66)</f>
        <v>11111947163</v>
      </c>
      <c r="Q65" s="2181">
        <f t="shared" ref="Q65:S65" si="23">SUM(Q66:Q66)</f>
        <v>10617257853</v>
      </c>
      <c r="R65" s="2181">
        <f t="shared" si="23"/>
        <v>0</v>
      </c>
      <c r="S65" s="2181">
        <f t="shared" si="23"/>
        <v>0</v>
      </c>
      <c r="T65" s="2859">
        <f t="shared" si="21"/>
        <v>0</v>
      </c>
      <c r="U65" s="2859">
        <f t="shared" si="21"/>
        <v>0</v>
      </c>
      <c r="V65" s="2858"/>
      <c r="W65" s="2858"/>
      <c r="X65" s="419"/>
      <c r="Y65" s="3243" t="s">
        <v>3782</v>
      </c>
    </row>
    <row r="66" spans="1:25" ht="52.8">
      <c r="A66" s="3026"/>
      <c r="B66" s="2938"/>
      <c r="C66" s="3040"/>
      <c r="D66" s="3042"/>
      <c r="E66" s="2093" t="s">
        <v>3857</v>
      </c>
      <c r="F66" s="2089"/>
      <c r="G66" s="804" t="s">
        <v>3841</v>
      </c>
      <c r="H66" s="2089"/>
      <c r="I66" s="804" t="s">
        <v>3858</v>
      </c>
      <c r="J66" s="804" t="s">
        <v>3785</v>
      </c>
      <c r="K66" s="474">
        <v>64</v>
      </c>
      <c r="L66" s="2169">
        <v>1</v>
      </c>
      <c r="M66" s="474">
        <v>0</v>
      </c>
      <c r="N66" s="2178">
        <v>0</v>
      </c>
      <c r="O66" s="3237"/>
      <c r="P66" s="2181">
        <v>11111947163</v>
      </c>
      <c r="Q66" s="2181">
        <f>VLOOKUP($E:$E,[1]Hoja1!$A:$E,3,0)</f>
        <v>10617257853</v>
      </c>
      <c r="R66" s="2181">
        <f>VLOOKUP($E:$E,[1]Hoja1!$A:$E,4,0)</f>
        <v>0</v>
      </c>
      <c r="S66" s="2181">
        <f>VLOOKUP($E:$E,[1]Hoja1!$A:$E,5,0)</f>
        <v>0</v>
      </c>
      <c r="T66" s="2859">
        <f t="shared" si="21"/>
        <v>0</v>
      </c>
      <c r="U66" s="2859">
        <f t="shared" si="21"/>
        <v>0</v>
      </c>
      <c r="V66" s="2857"/>
      <c r="W66" s="2857"/>
      <c r="X66" s="419"/>
      <c r="Y66" s="3243"/>
    </row>
    <row r="67" spans="1:25" ht="27.6">
      <c r="A67" s="1790"/>
      <c r="B67" s="2087">
        <v>52010030008</v>
      </c>
      <c r="C67" s="2087" t="s">
        <v>117</v>
      </c>
      <c r="D67" s="845" t="s">
        <v>3859</v>
      </c>
      <c r="E67" s="2088"/>
      <c r="F67" s="2089"/>
      <c r="G67" s="804"/>
      <c r="H67" s="814"/>
      <c r="I67" s="591"/>
      <c r="J67" s="591"/>
      <c r="K67" s="591"/>
      <c r="L67" s="2170"/>
      <c r="M67" s="474"/>
      <c r="N67" s="2178"/>
      <c r="O67" s="2179"/>
      <c r="P67" s="2098"/>
      <c r="Q67" s="2182"/>
      <c r="R67" s="2182"/>
      <c r="S67" s="2182"/>
      <c r="T67" s="2858"/>
      <c r="U67" s="2858"/>
      <c r="V67" s="2857"/>
      <c r="W67" s="2857"/>
      <c r="X67" s="419"/>
      <c r="Y67" s="591"/>
    </row>
    <row r="68" spans="1:25">
      <c r="A68" s="3026">
        <v>4161</v>
      </c>
      <c r="B68" s="2938"/>
      <c r="C68" s="3040" t="s">
        <v>123</v>
      </c>
      <c r="D68" s="3042" t="s">
        <v>3860</v>
      </c>
      <c r="E68" s="2093" t="s">
        <v>3861</v>
      </c>
      <c r="F68" s="2089"/>
      <c r="G68" s="213"/>
      <c r="H68" s="2100"/>
      <c r="I68" s="804"/>
      <c r="J68" s="804"/>
      <c r="K68" s="803">
        <f>SUM(K69)</f>
        <v>6</v>
      </c>
      <c r="L68" s="249">
        <f>SUM(L69:L70)</f>
        <v>1</v>
      </c>
      <c r="M68" s="474">
        <f>SUM(M69:M70)</f>
        <v>3</v>
      </c>
      <c r="N68" s="2178">
        <f>SUM(N69:N70)</f>
        <v>0.3</v>
      </c>
      <c r="O68" s="3237">
        <f>+IF(Q68&gt;0,N68,"na")</f>
        <v>0.3</v>
      </c>
      <c r="P68" s="2181">
        <f>SUM(P69:P70)</f>
        <v>371710674</v>
      </c>
      <c r="Q68" s="2181">
        <f t="shared" ref="Q68:S68" si="24">SUM(Q69:Q70)</f>
        <v>371710674</v>
      </c>
      <c r="R68" s="2181">
        <f t="shared" si="24"/>
        <v>50087842</v>
      </c>
      <c r="S68" s="2181">
        <f t="shared" si="24"/>
        <v>0</v>
      </c>
      <c r="T68" s="2859">
        <f t="shared" ref="T68:U70" si="25">+IF(Q68&gt;0,R68/Q68,0)</f>
        <v>0.13474953909986453</v>
      </c>
      <c r="U68" s="2859">
        <f t="shared" si="25"/>
        <v>0</v>
      </c>
      <c r="V68" s="2857"/>
      <c r="W68" s="2857"/>
      <c r="X68" s="419"/>
      <c r="Y68" s="3026" t="s">
        <v>3782</v>
      </c>
    </row>
    <row r="69" spans="1:25" ht="118.8">
      <c r="A69" s="3026"/>
      <c r="B69" s="2938"/>
      <c r="C69" s="3040"/>
      <c r="D69" s="3042"/>
      <c r="E69" s="2093" t="s">
        <v>3862</v>
      </c>
      <c r="F69" s="2089"/>
      <c r="G69" s="804" t="s">
        <v>3859</v>
      </c>
      <c r="H69" s="2100"/>
      <c r="I69" s="804" t="s">
        <v>3863</v>
      </c>
      <c r="J69" s="804" t="s">
        <v>3864</v>
      </c>
      <c r="K69" s="474">
        <v>6</v>
      </c>
      <c r="L69" s="2169">
        <v>0.9</v>
      </c>
      <c r="M69" s="474">
        <v>3</v>
      </c>
      <c r="N69" s="2178">
        <v>0.3</v>
      </c>
      <c r="O69" s="3237"/>
      <c r="P69" s="2181">
        <v>346341842</v>
      </c>
      <c r="Q69" s="2181">
        <f>VLOOKUP($E:$E,[1]Hoja1!$A:$E,3,0)</f>
        <v>346341842</v>
      </c>
      <c r="R69" s="2181">
        <f>VLOOKUP($E:$E,[1]Hoja1!$A:$E,4,0)</f>
        <v>50087842</v>
      </c>
      <c r="S69" s="2181">
        <f>VLOOKUP($E:$E,[1]Hoja1!$A:$E,5,0)</f>
        <v>0</v>
      </c>
      <c r="T69" s="2859">
        <f t="shared" si="25"/>
        <v>0.14461966740940299</v>
      </c>
      <c r="U69" s="2859">
        <f t="shared" si="25"/>
        <v>0</v>
      </c>
      <c r="V69" s="2857">
        <v>45309</v>
      </c>
      <c r="W69" s="2857">
        <v>45657</v>
      </c>
      <c r="X69" s="419" t="s">
        <v>3865</v>
      </c>
      <c r="Y69" s="3026"/>
    </row>
    <row r="70" spans="1:25" ht="66">
      <c r="A70" s="3026"/>
      <c r="B70" s="2938"/>
      <c r="C70" s="3040"/>
      <c r="D70" s="3042"/>
      <c r="E70" s="2093" t="s">
        <v>3866</v>
      </c>
      <c r="F70" s="2089"/>
      <c r="G70" s="474"/>
      <c r="H70" s="814"/>
      <c r="I70" s="804" t="s">
        <v>3867</v>
      </c>
      <c r="J70" s="804" t="s">
        <v>560</v>
      </c>
      <c r="K70" s="474">
        <v>6</v>
      </c>
      <c r="L70" s="2169">
        <v>0.1</v>
      </c>
      <c r="M70" s="474">
        <v>0</v>
      </c>
      <c r="N70" s="2178">
        <v>0</v>
      </c>
      <c r="O70" s="3237"/>
      <c r="P70" s="2181">
        <v>25368832</v>
      </c>
      <c r="Q70" s="2181">
        <f>VLOOKUP($E:$E,[1]Hoja1!$A:$E,3,0)</f>
        <v>25368832</v>
      </c>
      <c r="R70" s="2181">
        <f>VLOOKUP($E:$E,[1]Hoja1!$A:$E,4,0)</f>
        <v>0</v>
      </c>
      <c r="S70" s="2181">
        <f>VLOOKUP($E:$E,[1]Hoja1!$A:$E,5,0)</f>
        <v>0</v>
      </c>
      <c r="T70" s="2859">
        <f t="shared" si="25"/>
        <v>0</v>
      </c>
      <c r="U70" s="2859">
        <f t="shared" si="25"/>
        <v>0</v>
      </c>
      <c r="V70" s="2857"/>
      <c r="W70" s="2857"/>
      <c r="X70" s="419"/>
      <c r="Y70" s="3026"/>
    </row>
    <row r="71" spans="1:25" ht="14.4">
      <c r="A71" s="2080"/>
      <c r="B71" s="873">
        <v>5201004</v>
      </c>
      <c r="C71" s="873" t="s">
        <v>116</v>
      </c>
      <c r="D71" s="874" t="s">
        <v>1376</v>
      </c>
      <c r="E71" s="2079"/>
      <c r="F71" s="2089"/>
      <c r="G71" s="804"/>
      <c r="H71" s="814"/>
      <c r="I71" s="586"/>
      <c r="J71" s="586"/>
      <c r="K71" s="586"/>
      <c r="L71" s="2172"/>
      <c r="M71" s="474"/>
      <c r="N71" s="2178"/>
      <c r="O71" s="2179"/>
      <c r="P71" s="2103"/>
      <c r="Q71" s="2182"/>
      <c r="R71" s="2182"/>
      <c r="S71" s="2182"/>
      <c r="T71" s="2858"/>
      <c r="U71" s="2858"/>
      <c r="V71" s="2857"/>
      <c r="W71" s="2857"/>
      <c r="X71" s="419"/>
      <c r="Y71" s="586"/>
    </row>
    <row r="72" spans="1:25" ht="14.4">
      <c r="A72" s="224"/>
      <c r="B72" s="2087">
        <v>52010040001</v>
      </c>
      <c r="C72" s="2087" t="s">
        <v>117</v>
      </c>
      <c r="D72" s="845" t="s">
        <v>3868</v>
      </c>
      <c r="E72" s="2108"/>
      <c r="F72" s="814"/>
      <c r="G72" s="213"/>
      <c r="H72" s="814"/>
      <c r="I72" s="217"/>
      <c r="J72" s="217"/>
      <c r="K72" s="217"/>
      <c r="L72" s="2170"/>
      <c r="M72" s="474"/>
      <c r="N72" s="2178"/>
      <c r="O72" s="2179"/>
      <c r="P72" s="2185"/>
      <c r="Q72" s="2182"/>
      <c r="R72" s="2182"/>
      <c r="S72" s="2182"/>
      <c r="T72" s="2858"/>
      <c r="U72" s="2858"/>
      <c r="V72" s="2857"/>
      <c r="W72" s="2857"/>
      <c r="X72" s="419"/>
      <c r="Y72" s="2099"/>
    </row>
    <row r="73" spans="1:25" ht="14.4">
      <c r="A73" s="2926">
        <v>4161</v>
      </c>
      <c r="B73" s="2926"/>
      <c r="C73" s="2926" t="s">
        <v>123</v>
      </c>
      <c r="D73" s="3042" t="s">
        <v>3869</v>
      </c>
      <c r="E73" s="2097" t="s">
        <v>3870</v>
      </c>
      <c r="F73" s="814"/>
      <c r="G73" s="213"/>
      <c r="H73" s="814"/>
      <c r="I73" s="804"/>
      <c r="J73" s="804"/>
      <c r="K73" s="803">
        <f>SUM(K74)</f>
        <v>2</v>
      </c>
      <c r="L73" s="249">
        <f>SUM(L74:L74)</f>
        <v>1</v>
      </c>
      <c r="M73" s="474">
        <f>SUM(M74)</f>
        <v>0</v>
      </c>
      <c r="N73" s="2178">
        <f>SUM(N74)</f>
        <v>0</v>
      </c>
      <c r="O73" s="3237">
        <f>+IF(Q73&gt;0,N73,"na")</f>
        <v>0</v>
      </c>
      <c r="P73" s="2181">
        <f>SUM(P74:P74)</f>
        <v>5850284632</v>
      </c>
      <c r="Q73" s="2181">
        <f t="shared" ref="Q73:S73" si="26">SUM(Q74:Q74)</f>
        <v>5850284632</v>
      </c>
      <c r="R73" s="2181">
        <f t="shared" si="26"/>
        <v>0</v>
      </c>
      <c r="S73" s="2181">
        <f t="shared" si="26"/>
        <v>0</v>
      </c>
      <c r="T73" s="2859">
        <f>+IF(Q73&gt;0,R73/Q73,0)</f>
        <v>0</v>
      </c>
      <c r="U73" s="2859">
        <f>+IF(R73&gt;0,S73/R73,0)</f>
        <v>0</v>
      </c>
      <c r="V73" s="2858"/>
      <c r="W73" s="2858"/>
      <c r="X73" s="419"/>
      <c r="Y73" s="3026" t="s">
        <v>3768</v>
      </c>
    </row>
    <row r="74" spans="1:25" ht="66">
      <c r="A74" s="2926"/>
      <c r="B74" s="2926"/>
      <c r="C74" s="2926"/>
      <c r="D74" s="3042"/>
      <c r="E74" s="2097" t="s">
        <v>3871</v>
      </c>
      <c r="F74" s="814"/>
      <c r="G74" s="878" t="s">
        <v>3868</v>
      </c>
      <c r="H74" s="814"/>
      <c r="I74" s="804" t="s">
        <v>3872</v>
      </c>
      <c r="J74" s="804" t="s">
        <v>3873</v>
      </c>
      <c r="K74" s="474">
        <v>2</v>
      </c>
      <c r="L74" s="2169">
        <v>1</v>
      </c>
      <c r="M74" s="474">
        <v>0</v>
      </c>
      <c r="N74" s="2178">
        <v>0</v>
      </c>
      <c r="O74" s="3237"/>
      <c r="P74" s="2181">
        <v>5850284632</v>
      </c>
      <c r="Q74" s="2181">
        <f>VLOOKUP($E:$E,[1]Hoja1!$A:$E,3,0)</f>
        <v>5850284632</v>
      </c>
      <c r="R74" s="2181">
        <f>VLOOKUP($E:$E,[1]Hoja1!$A:$E,4,0)</f>
        <v>0</v>
      </c>
      <c r="S74" s="2181">
        <f>VLOOKUP($E:$E,[1]Hoja1!$A:$E,5,0)</f>
        <v>0</v>
      </c>
      <c r="T74" s="2859">
        <f>+IF(Q74&gt;0,R74/Q74,0)</f>
        <v>0</v>
      </c>
      <c r="U74" s="2859">
        <f>+IF(R74&gt;0,S74/R74,0)</f>
        <v>0</v>
      </c>
      <c r="V74" s="2857"/>
      <c r="W74" s="2857"/>
      <c r="X74" s="419"/>
      <c r="Y74" s="3026"/>
    </row>
    <row r="75" spans="1:25" ht="41.4">
      <c r="A75" s="224"/>
      <c r="B75" s="2087">
        <v>52010040002</v>
      </c>
      <c r="C75" s="2087" t="s">
        <v>117</v>
      </c>
      <c r="D75" s="845" t="s">
        <v>3874</v>
      </c>
      <c r="E75" s="2108"/>
      <c r="F75" s="814"/>
      <c r="G75" s="213"/>
      <c r="H75" s="814"/>
      <c r="I75" s="217"/>
      <c r="J75" s="217"/>
      <c r="K75" s="217"/>
      <c r="L75" s="2170"/>
      <c r="M75" s="474"/>
      <c r="N75" s="2178"/>
      <c r="O75" s="2179"/>
      <c r="P75" s="2185"/>
      <c r="Q75" s="2182"/>
      <c r="R75" s="2182"/>
      <c r="S75" s="2182"/>
      <c r="T75" s="2858"/>
      <c r="U75" s="2858"/>
      <c r="V75" s="2857"/>
      <c r="W75" s="2857"/>
      <c r="X75" s="419"/>
      <c r="Y75" s="2099"/>
    </row>
    <row r="76" spans="1:25" ht="14.4">
      <c r="A76" s="2926">
        <v>4161</v>
      </c>
      <c r="B76" s="2926"/>
      <c r="C76" s="2926" t="s">
        <v>123</v>
      </c>
      <c r="D76" s="3042" t="s">
        <v>3875</v>
      </c>
      <c r="E76" s="2097" t="s">
        <v>3876</v>
      </c>
      <c r="F76" s="814"/>
      <c r="G76" s="213"/>
      <c r="H76" s="814"/>
      <c r="I76" s="804"/>
      <c r="J76" s="804"/>
      <c r="K76" s="803">
        <f>SUM(K77)</f>
        <v>75</v>
      </c>
      <c r="L76" s="249">
        <f>SUM(L77:L77)</f>
        <v>1</v>
      </c>
      <c r="M76" s="474">
        <f>SUM(M77)</f>
        <v>0</v>
      </c>
      <c r="N76" s="2178">
        <f>SUM(N77)</f>
        <v>0</v>
      </c>
      <c r="O76" s="3237">
        <f>+IF(Q76&gt;0,N76,"na")</f>
        <v>0</v>
      </c>
      <c r="P76" s="2181">
        <f>SUM(P77:P77)</f>
        <v>429776880</v>
      </c>
      <c r="Q76" s="2181">
        <f t="shared" ref="Q76:S76" si="27">SUM(Q77:Q77)</f>
        <v>429776880</v>
      </c>
      <c r="R76" s="2181">
        <f t="shared" si="27"/>
        <v>0</v>
      </c>
      <c r="S76" s="2181">
        <f t="shared" si="27"/>
        <v>0</v>
      </c>
      <c r="T76" s="2859">
        <f>+IF(Q76&gt;0,R76/Q76,0)</f>
        <v>0</v>
      </c>
      <c r="U76" s="2859">
        <f>+IF(R76&gt;0,S76/R76,0)</f>
        <v>0</v>
      </c>
      <c r="V76" s="2858"/>
      <c r="W76" s="2858"/>
      <c r="X76" s="419"/>
      <c r="Y76" s="3026" t="s">
        <v>3768</v>
      </c>
    </row>
    <row r="77" spans="1:25" ht="145.19999999999999">
      <c r="A77" s="2926"/>
      <c r="B77" s="2926"/>
      <c r="C77" s="2926"/>
      <c r="D77" s="3042"/>
      <c r="E77" s="2097" t="s">
        <v>3877</v>
      </c>
      <c r="F77" s="814"/>
      <c r="G77" s="878" t="s">
        <v>3874</v>
      </c>
      <c r="H77" s="814"/>
      <c r="I77" s="804" t="s">
        <v>3878</v>
      </c>
      <c r="J77" s="804" t="s">
        <v>3879</v>
      </c>
      <c r="K77" s="474">
        <v>75</v>
      </c>
      <c r="L77" s="2169">
        <v>1</v>
      </c>
      <c r="M77" s="474">
        <v>0</v>
      </c>
      <c r="N77" s="2178">
        <v>0</v>
      </c>
      <c r="O77" s="3237"/>
      <c r="P77" s="2181">
        <v>429776880</v>
      </c>
      <c r="Q77" s="2181">
        <f>VLOOKUP($E:$E,[1]Hoja1!$A:$E,3,0)</f>
        <v>429776880</v>
      </c>
      <c r="R77" s="2181">
        <f>VLOOKUP($E:$E,[1]Hoja1!$A:$E,4,0)</f>
        <v>0</v>
      </c>
      <c r="S77" s="2181">
        <f>VLOOKUP($E:$E,[1]Hoja1!$A:$E,5,0)</f>
        <v>0</v>
      </c>
      <c r="T77" s="2859">
        <f>+IF(Q77&gt;0,R77/Q77,0)</f>
        <v>0</v>
      </c>
      <c r="U77" s="2859">
        <f>+IF(R77&gt;0,S77/R77,0)</f>
        <v>0</v>
      </c>
      <c r="V77" s="2857"/>
      <c r="W77" s="2857"/>
      <c r="X77" s="419"/>
      <c r="Y77" s="3026"/>
    </row>
    <row r="78" spans="1:25" ht="14.4">
      <c r="A78" s="224"/>
      <c r="B78" s="2087">
        <v>52010040003</v>
      </c>
      <c r="C78" s="2087" t="s">
        <v>117</v>
      </c>
      <c r="D78" s="845" t="s">
        <v>3880</v>
      </c>
      <c r="E78" s="2108"/>
      <c r="F78" s="814"/>
      <c r="G78" s="213"/>
      <c r="H78" s="814"/>
      <c r="I78" s="217"/>
      <c r="J78" s="217"/>
      <c r="K78" s="217"/>
      <c r="L78" s="2170"/>
      <c r="M78" s="474"/>
      <c r="N78" s="2178"/>
      <c r="O78" s="2179"/>
      <c r="P78" s="2185"/>
      <c r="Q78" s="2182"/>
      <c r="R78" s="2182"/>
      <c r="S78" s="2182"/>
      <c r="T78" s="2858"/>
      <c r="U78" s="2858"/>
      <c r="V78" s="2857"/>
      <c r="W78" s="2857"/>
      <c r="X78" s="419"/>
      <c r="Y78" s="217"/>
    </row>
    <row r="79" spans="1:25" ht="14.4">
      <c r="A79" s="3026">
        <v>4161</v>
      </c>
      <c r="B79" s="2938"/>
      <c r="C79" s="3040" t="s">
        <v>123</v>
      </c>
      <c r="D79" s="3246" t="s">
        <v>3881</v>
      </c>
      <c r="E79" s="2093" t="s">
        <v>3882</v>
      </c>
      <c r="F79" s="2100"/>
      <c r="G79" s="213"/>
      <c r="H79" s="814"/>
      <c r="I79" s="804"/>
      <c r="J79" s="804"/>
      <c r="K79" s="803">
        <f>SUM(K80)</f>
        <v>2</v>
      </c>
      <c r="L79" s="249">
        <f>SUM(L80:L80)</f>
        <v>1</v>
      </c>
      <c r="M79" s="474">
        <f>SUM(M80)</f>
        <v>0</v>
      </c>
      <c r="N79" s="2178">
        <f>SUM(N80)</f>
        <v>0</v>
      </c>
      <c r="O79" s="3237">
        <f>+IF(Q79&gt;0,N79,"na")</f>
        <v>0</v>
      </c>
      <c r="P79" s="2181">
        <f>SUM(P80:P80)</f>
        <v>500000000</v>
      </c>
      <c r="Q79" s="2181">
        <f t="shared" ref="Q79:S79" si="28">SUM(Q80:Q80)</f>
        <v>500000000</v>
      </c>
      <c r="R79" s="2181">
        <f t="shared" si="28"/>
        <v>0</v>
      </c>
      <c r="S79" s="2181">
        <f t="shared" si="28"/>
        <v>0</v>
      </c>
      <c r="T79" s="2859">
        <f>+IF(Q79&gt;0,R79/Q79,0)</f>
        <v>0</v>
      </c>
      <c r="U79" s="2859">
        <f>+IF(R79&gt;0,S79/R79,0)</f>
        <v>0</v>
      </c>
      <c r="V79" s="2858"/>
      <c r="W79" s="2858"/>
      <c r="X79" s="419"/>
      <c r="Y79" s="3026" t="s">
        <v>3768</v>
      </c>
    </row>
    <row r="80" spans="1:25" ht="66">
      <c r="A80" s="3026"/>
      <c r="B80" s="2938"/>
      <c r="C80" s="3040"/>
      <c r="D80" s="3246"/>
      <c r="E80" s="2093" t="s">
        <v>3883</v>
      </c>
      <c r="F80" s="2100"/>
      <c r="G80" s="878" t="s">
        <v>3880</v>
      </c>
      <c r="H80" s="814"/>
      <c r="I80" s="804" t="s">
        <v>3884</v>
      </c>
      <c r="J80" s="804" t="s">
        <v>3885</v>
      </c>
      <c r="K80" s="474">
        <v>2</v>
      </c>
      <c r="L80" s="2169">
        <v>1</v>
      </c>
      <c r="M80" s="474">
        <v>0</v>
      </c>
      <c r="N80" s="2178">
        <v>0</v>
      </c>
      <c r="O80" s="3237"/>
      <c r="P80" s="2181">
        <v>500000000</v>
      </c>
      <c r="Q80" s="2181">
        <f>VLOOKUP($E:$E,[1]Hoja1!$A:$E,3,0)</f>
        <v>500000000</v>
      </c>
      <c r="R80" s="2181">
        <f>VLOOKUP($E:$E,[1]Hoja1!$A:$E,4,0)</f>
        <v>0</v>
      </c>
      <c r="S80" s="2181">
        <f>VLOOKUP($E:$E,[1]Hoja1!$A:$E,5,0)</f>
        <v>0</v>
      </c>
      <c r="T80" s="2859">
        <f>+IF(Q80&gt;0,R80/Q80,0)</f>
        <v>0</v>
      </c>
      <c r="U80" s="2859">
        <f>+IF(R80&gt;0,S80/R80,0)</f>
        <v>0</v>
      </c>
      <c r="V80" s="2857"/>
      <c r="W80" s="2857"/>
      <c r="X80" s="419"/>
      <c r="Y80" s="3026"/>
    </row>
    <row r="81" spans="1:25" ht="14.4">
      <c r="A81" s="224"/>
      <c r="B81" s="2087">
        <v>52010040005</v>
      </c>
      <c r="C81" s="2087" t="s">
        <v>117</v>
      </c>
      <c r="D81" s="845" t="s">
        <v>3886</v>
      </c>
      <c r="E81" s="2108"/>
      <c r="F81" s="814"/>
      <c r="G81" s="213"/>
      <c r="H81" s="814"/>
      <c r="I81" s="217"/>
      <c r="J81" s="217"/>
      <c r="K81" s="217"/>
      <c r="L81" s="2170"/>
      <c r="M81" s="474"/>
      <c r="N81" s="2178"/>
      <c r="O81" s="2179"/>
      <c r="P81" s="2185"/>
      <c r="Q81" s="2182"/>
      <c r="R81" s="2182"/>
      <c r="S81" s="2182"/>
      <c r="T81" s="2858"/>
      <c r="U81" s="2858"/>
      <c r="V81" s="2857"/>
      <c r="W81" s="2857"/>
      <c r="X81" s="419"/>
      <c r="Y81" s="217"/>
    </row>
    <row r="82" spans="1:25" ht="14.4">
      <c r="A82" s="2926">
        <v>4161</v>
      </c>
      <c r="B82" s="2926"/>
      <c r="C82" s="2926" t="s">
        <v>123</v>
      </c>
      <c r="D82" s="3042" t="s">
        <v>3887</v>
      </c>
      <c r="E82" s="2097" t="s">
        <v>3888</v>
      </c>
      <c r="F82" s="814"/>
      <c r="G82" s="213"/>
      <c r="H82" s="814"/>
      <c r="I82" s="804"/>
      <c r="J82" s="804"/>
      <c r="K82" s="803">
        <f>SUM(K83)</f>
        <v>5</v>
      </c>
      <c r="L82" s="249">
        <f>SUM(L83:L83)</f>
        <v>1</v>
      </c>
      <c r="M82" s="474">
        <f>SUM(M83)</f>
        <v>0</v>
      </c>
      <c r="N82" s="2178">
        <f>SUM(N83)</f>
        <v>0</v>
      </c>
      <c r="O82" s="3237">
        <f>+IF(Q82&gt;0,N82,"na")</f>
        <v>0</v>
      </c>
      <c r="P82" s="2181">
        <f>SUM(P83:P83)</f>
        <v>738913100</v>
      </c>
      <c r="Q82" s="2181">
        <f t="shared" ref="Q82:S82" si="29">SUM(Q83:Q83)</f>
        <v>738913100</v>
      </c>
      <c r="R82" s="2181">
        <f t="shared" si="29"/>
        <v>0</v>
      </c>
      <c r="S82" s="2181">
        <f t="shared" si="29"/>
        <v>0</v>
      </c>
      <c r="T82" s="2859">
        <f>+IF(Q82&gt;0,R82/Q82,0)</f>
        <v>0</v>
      </c>
      <c r="U82" s="2859">
        <f>+IF(R82&gt;0,S82/R82,0)</f>
        <v>0</v>
      </c>
      <c r="V82" s="2858"/>
      <c r="W82" s="2858"/>
      <c r="X82" s="419"/>
      <c r="Y82" s="3245" t="s">
        <v>3768</v>
      </c>
    </row>
    <row r="83" spans="1:25" ht="66">
      <c r="A83" s="2926"/>
      <c r="B83" s="2926"/>
      <c r="C83" s="2926"/>
      <c r="D83" s="3042"/>
      <c r="E83" s="2097" t="s">
        <v>3889</v>
      </c>
      <c r="F83" s="814"/>
      <c r="G83" s="212" t="s">
        <v>3886</v>
      </c>
      <c r="H83" s="814"/>
      <c r="I83" s="804" t="s">
        <v>3890</v>
      </c>
      <c r="J83" s="804" t="s">
        <v>3891</v>
      </c>
      <c r="K83" s="474">
        <v>5</v>
      </c>
      <c r="L83" s="2169">
        <v>1</v>
      </c>
      <c r="M83" s="474">
        <v>0</v>
      </c>
      <c r="N83" s="2178">
        <v>0</v>
      </c>
      <c r="O83" s="3237"/>
      <c r="P83" s="2181">
        <v>738913100</v>
      </c>
      <c r="Q83" s="2181">
        <f>VLOOKUP($E:$E,[1]Hoja1!$A:$E,3,0)</f>
        <v>738913100</v>
      </c>
      <c r="R83" s="2181">
        <f>VLOOKUP($E:$E,[1]Hoja1!$A:$E,4,0)</f>
        <v>0</v>
      </c>
      <c r="S83" s="2181">
        <f>VLOOKUP($E:$E,[1]Hoja1!$A:$E,5,0)</f>
        <v>0</v>
      </c>
      <c r="T83" s="2859">
        <f>+IF(Q83&gt;0,R83/Q83,0)</f>
        <v>0</v>
      </c>
      <c r="U83" s="2859">
        <f>+IF(R83&gt;0,S83/R83,0)</f>
        <v>0</v>
      </c>
      <c r="V83" s="2857"/>
      <c r="W83" s="2857"/>
      <c r="X83" s="419"/>
      <c r="Y83" s="3245"/>
    </row>
    <row r="84" spans="1:25" ht="14.4">
      <c r="A84" s="221"/>
      <c r="B84" s="873">
        <v>5201005</v>
      </c>
      <c r="C84" s="873" t="s">
        <v>116</v>
      </c>
      <c r="D84" s="874" t="s">
        <v>1731</v>
      </c>
      <c r="E84" s="2109"/>
      <c r="F84" s="814"/>
      <c r="G84" s="213"/>
      <c r="H84" s="814"/>
      <c r="I84" s="215"/>
      <c r="J84" s="215"/>
      <c r="K84" s="215"/>
      <c r="L84" s="2172"/>
      <c r="M84" s="474"/>
      <c r="N84" s="2178"/>
      <c r="O84" s="2179"/>
      <c r="P84" s="2186"/>
      <c r="Q84" s="2182"/>
      <c r="R84" s="2182"/>
      <c r="S84" s="2182"/>
      <c r="T84" s="2858"/>
      <c r="U84" s="2858"/>
      <c r="V84" s="2857"/>
      <c r="W84" s="2857"/>
      <c r="X84" s="419"/>
      <c r="Y84" s="215"/>
    </row>
    <row r="85" spans="1:25" ht="14.4">
      <c r="A85" s="224"/>
      <c r="B85" s="2087">
        <v>52010050013</v>
      </c>
      <c r="C85" s="2087" t="s">
        <v>117</v>
      </c>
      <c r="D85" s="845" t="s">
        <v>3892</v>
      </c>
      <c r="E85" s="2108"/>
      <c r="F85" s="814"/>
      <c r="G85" s="213"/>
      <c r="H85" s="814"/>
      <c r="I85" s="217"/>
      <c r="J85" s="217"/>
      <c r="K85" s="217"/>
      <c r="L85" s="2170"/>
      <c r="M85" s="474"/>
      <c r="N85" s="2178"/>
      <c r="O85" s="2179"/>
      <c r="P85" s="2185"/>
      <c r="Q85" s="2182"/>
      <c r="R85" s="2182"/>
      <c r="S85" s="2182"/>
      <c r="T85" s="2858"/>
      <c r="U85" s="2858"/>
      <c r="V85" s="2857"/>
      <c r="W85" s="2857"/>
      <c r="X85" s="419"/>
      <c r="Y85" s="217"/>
    </row>
    <row r="86" spans="1:25" ht="14.4">
      <c r="A86" s="2926">
        <v>4161</v>
      </c>
      <c r="B86" s="2926"/>
      <c r="C86" s="2926" t="s">
        <v>123</v>
      </c>
      <c r="D86" s="3042" t="s">
        <v>3893</v>
      </c>
      <c r="E86" s="2097" t="s">
        <v>3894</v>
      </c>
      <c r="F86" s="814"/>
      <c r="G86" s="212"/>
      <c r="H86" s="814"/>
      <c r="I86" s="804"/>
      <c r="J86" s="804"/>
      <c r="K86" s="803">
        <f>SUM(K87)</f>
        <v>30</v>
      </c>
      <c r="L86" s="249">
        <f>SUM(L87:L87)</f>
        <v>1</v>
      </c>
      <c r="M86" s="474">
        <f>SUM(M87)</f>
        <v>13</v>
      </c>
      <c r="N86" s="2178">
        <f>SUM(N87)</f>
        <v>0.3</v>
      </c>
      <c r="O86" s="3237">
        <f>+IF(Q86&gt;0,N86,"na")</f>
        <v>0.3</v>
      </c>
      <c r="P86" s="2181">
        <f>SUM(P87:P87)</f>
        <v>404129352</v>
      </c>
      <c r="Q86" s="2181">
        <f t="shared" ref="Q86:S86" si="30">SUM(Q87:Q87)</f>
        <v>404129352</v>
      </c>
      <c r="R86" s="2181">
        <f t="shared" si="30"/>
        <v>108332000</v>
      </c>
      <c r="S86" s="2181">
        <f t="shared" si="30"/>
        <v>21875000</v>
      </c>
      <c r="T86" s="2859">
        <f>+IF(Q86&gt;0,R86/Q86,0)</f>
        <v>0.26806268701809116</v>
      </c>
      <c r="U86" s="2859">
        <f>+IF(R86&gt;0,S86/R86,0)</f>
        <v>0.20192556216076504</v>
      </c>
      <c r="V86" s="2858"/>
      <c r="W86" s="2858"/>
      <c r="X86" s="419"/>
      <c r="Y86" s="3026" t="s">
        <v>3895</v>
      </c>
    </row>
    <row r="87" spans="1:25" ht="132">
      <c r="A87" s="2926"/>
      <c r="B87" s="2926"/>
      <c r="C87" s="2926"/>
      <c r="D87" s="3042"/>
      <c r="E87" s="2097" t="s">
        <v>3896</v>
      </c>
      <c r="F87" s="814"/>
      <c r="G87" s="213" t="s">
        <v>3892</v>
      </c>
      <c r="H87" s="814"/>
      <c r="I87" s="804" t="s">
        <v>3897</v>
      </c>
      <c r="J87" s="804" t="s">
        <v>3898</v>
      </c>
      <c r="K87" s="474">
        <v>30</v>
      </c>
      <c r="L87" s="2169">
        <v>1</v>
      </c>
      <c r="M87" s="474">
        <v>13</v>
      </c>
      <c r="N87" s="2178">
        <v>0.3</v>
      </c>
      <c r="O87" s="3237"/>
      <c r="P87" s="2181">
        <v>404129352</v>
      </c>
      <c r="Q87" s="2181">
        <f>VLOOKUP($E:$E,[1]Hoja1!$A:$E,3,0)</f>
        <v>404129352</v>
      </c>
      <c r="R87" s="2181">
        <f>VLOOKUP($E:$E,[1]Hoja1!$A:$E,4,0)</f>
        <v>108332000</v>
      </c>
      <c r="S87" s="2181">
        <f>VLOOKUP($E:$E,[1]Hoja1!$A:$E,5,0)</f>
        <v>21875000</v>
      </c>
      <c r="T87" s="2859">
        <f>+IF(Q87&gt;0,R87/Q87,0)</f>
        <v>0.26806268701809116</v>
      </c>
      <c r="U87" s="2859">
        <f>+IF(R87&gt;0,S87/R87,0)</f>
        <v>0.20192556216076504</v>
      </c>
      <c r="V87" s="2857">
        <v>45309</v>
      </c>
      <c r="W87" s="2857">
        <v>45657</v>
      </c>
      <c r="X87" s="419" t="s">
        <v>3899</v>
      </c>
      <c r="Y87" s="3026"/>
    </row>
    <row r="88" spans="1:25" ht="15.6">
      <c r="A88" s="815"/>
      <c r="B88" s="837">
        <v>5202</v>
      </c>
      <c r="C88" s="837" t="s">
        <v>115</v>
      </c>
      <c r="D88" s="838" t="s">
        <v>3900</v>
      </c>
      <c r="E88" s="2110"/>
      <c r="F88" s="814"/>
      <c r="G88" s="213"/>
      <c r="H88" s="814"/>
      <c r="I88" s="2072"/>
      <c r="J88" s="2101"/>
      <c r="K88" s="816"/>
      <c r="L88" s="2171"/>
      <c r="M88" s="474"/>
      <c r="N88" s="2178"/>
      <c r="O88" s="2179"/>
      <c r="P88" s="2187"/>
      <c r="Q88" s="2182"/>
      <c r="R88" s="2182"/>
      <c r="S88" s="2182"/>
      <c r="T88" s="2858"/>
      <c r="U88" s="2858"/>
      <c r="V88" s="2857"/>
      <c r="W88" s="2857"/>
      <c r="X88" s="419"/>
      <c r="Y88" s="2111"/>
    </row>
    <row r="89" spans="1:25" ht="14.4">
      <c r="A89" s="221"/>
      <c r="B89" s="873">
        <v>5202003</v>
      </c>
      <c r="C89" s="873" t="s">
        <v>116</v>
      </c>
      <c r="D89" s="874" t="s">
        <v>1788</v>
      </c>
      <c r="E89" s="2109"/>
      <c r="F89" s="814"/>
      <c r="G89" s="213"/>
      <c r="H89" s="814"/>
      <c r="I89" s="2082"/>
      <c r="J89" s="2082"/>
      <c r="K89" s="215"/>
      <c r="L89" s="2172"/>
      <c r="M89" s="474"/>
      <c r="N89" s="2178"/>
      <c r="O89" s="2179"/>
      <c r="P89" s="2186"/>
      <c r="Q89" s="2182"/>
      <c r="R89" s="2182"/>
      <c r="S89" s="2182"/>
      <c r="T89" s="2858"/>
      <c r="U89" s="2858"/>
      <c r="V89" s="2857"/>
      <c r="W89" s="2857"/>
      <c r="X89" s="419"/>
      <c r="Y89" s="215"/>
    </row>
    <row r="90" spans="1:25" ht="14.4">
      <c r="A90" s="224"/>
      <c r="B90" s="2087">
        <v>52020030004</v>
      </c>
      <c r="C90" s="2087" t="s">
        <v>117</v>
      </c>
      <c r="D90" s="845" t="s">
        <v>3901</v>
      </c>
      <c r="E90" s="2108"/>
      <c r="F90" s="814"/>
      <c r="G90" s="800"/>
      <c r="H90" s="814"/>
      <c r="I90" s="2112"/>
      <c r="J90" s="591"/>
      <c r="K90" s="217"/>
      <c r="L90" s="2170"/>
      <c r="M90" s="474"/>
      <c r="N90" s="2178"/>
      <c r="O90" s="2179"/>
      <c r="P90" s="2185"/>
      <c r="Q90" s="2182"/>
      <c r="R90" s="2182"/>
      <c r="S90" s="2182"/>
      <c r="T90" s="2858"/>
      <c r="U90" s="2858"/>
      <c r="V90" s="2857"/>
      <c r="W90" s="2857"/>
      <c r="X90" s="419"/>
      <c r="Y90" s="217"/>
    </row>
    <row r="91" spans="1:25" ht="14.4">
      <c r="A91" s="2926">
        <v>4161</v>
      </c>
      <c r="B91" s="2926"/>
      <c r="C91" s="2926" t="s">
        <v>123</v>
      </c>
      <c r="D91" s="3042" t="s">
        <v>3902</v>
      </c>
      <c r="E91" s="2097" t="s">
        <v>3903</v>
      </c>
      <c r="F91" s="814"/>
      <c r="G91" s="800"/>
      <c r="H91" s="814"/>
      <c r="I91" s="804"/>
      <c r="J91" s="804"/>
      <c r="K91" s="803">
        <f>SUM(K93)</f>
        <v>1</v>
      </c>
      <c r="L91" s="249">
        <f>SUM(L93:L93)</f>
        <v>0.28000000000000003</v>
      </c>
      <c r="M91" s="474">
        <f>SUM(M92)</f>
        <v>0</v>
      </c>
      <c r="N91" s="2178">
        <f>SUM(N92)</f>
        <v>0</v>
      </c>
      <c r="O91" s="3237">
        <f>+IF(Q91&gt;0,N91,"na")</f>
        <v>0</v>
      </c>
      <c r="P91" s="2181">
        <f>SUM(P92:P93)</f>
        <v>296738500</v>
      </c>
      <c r="Q91" s="2181">
        <f t="shared" ref="Q91:S91" si="31">SUM(Q92:Q93)</f>
        <v>296738500</v>
      </c>
      <c r="R91" s="2181">
        <f t="shared" si="31"/>
        <v>0</v>
      </c>
      <c r="S91" s="2181">
        <f t="shared" si="31"/>
        <v>0</v>
      </c>
      <c r="T91" s="2859">
        <f t="shared" ref="T91:U100" si="32">+IF(Q91&gt;0,R91/Q91,0)</f>
        <v>0</v>
      </c>
      <c r="U91" s="2859">
        <f t="shared" si="32"/>
        <v>0</v>
      </c>
      <c r="V91" s="2858"/>
      <c r="W91" s="2858"/>
      <c r="X91" s="419"/>
      <c r="Y91" s="3243" t="s">
        <v>3895</v>
      </c>
    </row>
    <row r="92" spans="1:25" ht="66">
      <c r="A92" s="2926"/>
      <c r="B92" s="2926"/>
      <c r="C92" s="2926"/>
      <c r="D92" s="3042"/>
      <c r="E92" s="2097" t="s">
        <v>3904</v>
      </c>
      <c r="F92" s="814"/>
      <c r="G92" s="800" t="s">
        <v>3901</v>
      </c>
      <c r="H92" s="814"/>
      <c r="I92" s="804" t="s">
        <v>3905</v>
      </c>
      <c r="J92" s="804" t="s">
        <v>120</v>
      </c>
      <c r="K92" s="474">
        <v>130</v>
      </c>
      <c r="L92" s="2169">
        <v>0.72</v>
      </c>
      <c r="M92" s="474">
        <v>0</v>
      </c>
      <c r="N92" s="2178">
        <v>0</v>
      </c>
      <c r="O92" s="3237"/>
      <c r="P92" s="2181">
        <v>209906889</v>
      </c>
      <c r="Q92" s="2181">
        <f>VLOOKUP($E:$E,[1]Hoja1!$A:$E,3,0)</f>
        <v>209906889</v>
      </c>
      <c r="R92" s="2181">
        <f>VLOOKUP($E:$E,[1]Hoja1!$A:$E,4,0)</f>
        <v>0</v>
      </c>
      <c r="S92" s="2181">
        <f>VLOOKUP($E:$E,[1]Hoja1!$A:$E,5,0)</f>
        <v>0</v>
      </c>
      <c r="T92" s="2859">
        <f t="shared" si="32"/>
        <v>0</v>
      </c>
      <c r="U92" s="2859">
        <f t="shared" si="32"/>
        <v>0</v>
      </c>
      <c r="V92" s="2857"/>
      <c r="W92" s="2857"/>
      <c r="X92" s="419"/>
      <c r="Y92" s="3243"/>
    </row>
    <row r="93" spans="1:25" ht="52.8">
      <c r="A93" s="2926"/>
      <c r="B93" s="2926"/>
      <c r="C93" s="2926"/>
      <c r="D93" s="3042"/>
      <c r="E93" s="2097" t="s">
        <v>3906</v>
      </c>
      <c r="F93" s="814"/>
      <c r="G93" s="800"/>
      <c r="H93" s="814"/>
      <c r="I93" s="804" t="s">
        <v>3907</v>
      </c>
      <c r="J93" s="804" t="s">
        <v>3908</v>
      </c>
      <c r="K93" s="474">
        <v>1</v>
      </c>
      <c r="L93" s="2169">
        <v>0.28000000000000003</v>
      </c>
      <c r="M93" s="474">
        <v>0</v>
      </c>
      <c r="N93" s="2178">
        <v>0</v>
      </c>
      <c r="O93" s="3237"/>
      <c r="P93" s="2181">
        <v>86831611</v>
      </c>
      <c r="Q93" s="2181">
        <f>VLOOKUP($E:$E,[1]Hoja1!$A:$E,3,0)</f>
        <v>86831611</v>
      </c>
      <c r="R93" s="2181">
        <f>VLOOKUP($E:$E,[1]Hoja1!$A:$E,4,0)</f>
        <v>0</v>
      </c>
      <c r="S93" s="2181">
        <f>VLOOKUP($E:$E,[1]Hoja1!$A:$E,5,0)</f>
        <v>0</v>
      </c>
      <c r="T93" s="2859">
        <f t="shared" si="32"/>
        <v>0</v>
      </c>
      <c r="U93" s="2859">
        <f t="shared" si="32"/>
        <v>0</v>
      </c>
      <c r="V93" s="2857"/>
      <c r="W93" s="2857"/>
      <c r="X93" s="419"/>
      <c r="Y93" s="3243"/>
    </row>
    <row r="94" spans="1:25" ht="14.4">
      <c r="A94" s="2926">
        <v>4161</v>
      </c>
      <c r="B94" s="2926"/>
      <c r="C94" s="2926" t="s">
        <v>123</v>
      </c>
      <c r="D94" s="3042" t="s">
        <v>3909</v>
      </c>
      <c r="E94" s="2097" t="s">
        <v>3910</v>
      </c>
      <c r="F94" s="814"/>
      <c r="G94" s="800"/>
      <c r="H94" s="814"/>
      <c r="I94" s="804"/>
      <c r="J94" s="804"/>
      <c r="K94" s="803">
        <f>SUM(K95)</f>
        <v>100</v>
      </c>
      <c r="L94" s="249">
        <f>SUM(L95:L95)</f>
        <v>1</v>
      </c>
      <c r="M94" s="474">
        <f>SUM(M95)</f>
        <v>0</v>
      </c>
      <c r="N94" s="2178">
        <f>SUM(N95)</f>
        <v>0</v>
      </c>
      <c r="O94" s="3237">
        <f>+IF(Q94&gt;0,N94,"na")</f>
        <v>0</v>
      </c>
      <c r="P94" s="2181">
        <f>SUM(P95)</f>
        <v>99739000</v>
      </c>
      <c r="Q94" s="2181">
        <f t="shared" ref="Q94:S94" si="33">SUM(Q95)</f>
        <v>99739000</v>
      </c>
      <c r="R94" s="2181">
        <f t="shared" si="33"/>
        <v>0</v>
      </c>
      <c r="S94" s="2181">
        <f t="shared" si="33"/>
        <v>0</v>
      </c>
      <c r="T94" s="2859">
        <f t="shared" si="32"/>
        <v>0</v>
      </c>
      <c r="U94" s="2859">
        <f t="shared" si="32"/>
        <v>0</v>
      </c>
      <c r="V94" s="2858"/>
      <c r="W94" s="2858"/>
      <c r="X94" s="419"/>
      <c r="Y94" s="3243" t="s">
        <v>3895</v>
      </c>
    </row>
    <row r="95" spans="1:25" ht="66">
      <c r="A95" s="2926"/>
      <c r="B95" s="2926"/>
      <c r="C95" s="2926"/>
      <c r="D95" s="3042"/>
      <c r="E95" s="2097" t="s">
        <v>3911</v>
      </c>
      <c r="F95" s="814"/>
      <c r="G95" s="800" t="s">
        <v>3901</v>
      </c>
      <c r="H95" s="814"/>
      <c r="I95" s="804" t="s">
        <v>3912</v>
      </c>
      <c r="J95" s="804" t="s">
        <v>3913</v>
      </c>
      <c r="K95" s="474">
        <v>100</v>
      </c>
      <c r="L95" s="2169">
        <v>1</v>
      </c>
      <c r="M95" s="474">
        <v>0</v>
      </c>
      <c r="N95" s="2178">
        <v>0</v>
      </c>
      <c r="O95" s="3237"/>
      <c r="P95" s="2181">
        <v>99739000</v>
      </c>
      <c r="Q95" s="2181">
        <f>VLOOKUP($E:$E,[1]Hoja1!$A:$E,3,0)</f>
        <v>99739000</v>
      </c>
      <c r="R95" s="2181">
        <f>VLOOKUP($E:$E,[1]Hoja1!$A:$E,4,0)</f>
        <v>0</v>
      </c>
      <c r="S95" s="2181">
        <f>VLOOKUP($E:$E,[1]Hoja1!$A:$E,5,0)</f>
        <v>0</v>
      </c>
      <c r="T95" s="2859">
        <f t="shared" si="32"/>
        <v>0</v>
      </c>
      <c r="U95" s="2859">
        <f t="shared" si="32"/>
        <v>0</v>
      </c>
      <c r="V95" s="2857"/>
      <c r="W95" s="2857"/>
      <c r="X95" s="419"/>
      <c r="Y95" s="3243"/>
    </row>
    <row r="96" spans="1:25" ht="14.4">
      <c r="A96" s="2926">
        <v>4161</v>
      </c>
      <c r="B96" s="2926"/>
      <c r="C96" s="2926" t="s">
        <v>123</v>
      </c>
      <c r="D96" s="3042" t="s">
        <v>3914</v>
      </c>
      <c r="E96" s="2097" t="s">
        <v>3915</v>
      </c>
      <c r="F96" s="814"/>
      <c r="G96" s="800"/>
      <c r="H96" s="814"/>
      <c r="I96" s="804"/>
      <c r="J96" s="804"/>
      <c r="K96" s="803">
        <f>SUM(K97)</f>
        <v>390</v>
      </c>
      <c r="L96" s="249">
        <f>SUM(L97:L98)</f>
        <v>1</v>
      </c>
      <c r="M96" s="474">
        <f>SUM(M97)</f>
        <v>0</v>
      </c>
      <c r="N96" s="2178">
        <f>SUM(N97)</f>
        <v>0</v>
      </c>
      <c r="O96" s="3237">
        <f>+IF(Q96&gt;0,N96,"na")</f>
        <v>0</v>
      </c>
      <c r="P96" s="2181">
        <f>SUM(P97:P98)</f>
        <v>2424438520</v>
      </c>
      <c r="Q96" s="2181">
        <f t="shared" ref="Q96:S96" si="34">SUM(Q97:Q98)</f>
        <v>2424438520</v>
      </c>
      <c r="R96" s="2181">
        <f t="shared" si="34"/>
        <v>0</v>
      </c>
      <c r="S96" s="2181">
        <f t="shared" si="34"/>
        <v>0</v>
      </c>
      <c r="T96" s="2859">
        <f t="shared" si="32"/>
        <v>0</v>
      </c>
      <c r="U96" s="2859">
        <f t="shared" si="32"/>
        <v>0</v>
      </c>
      <c r="V96" s="2858"/>
      <c r="W96" s="2858"/>
      <c r="X96" s="419"/>
      <c r="Y96" s="3243" t="s">
        <v>3895</v>
      </c>
    </row>
    <row r="97" spans="1:25" ht="66">
      <c r="A97" s="2926"/>
      <c r="B97" s="2926"/>
      <c r="C97" s="2926"/>
      <c r="D97" s="3042"/>
      <c r="E97" s="2097" t="s">
        <v>3916</v>
      </c>
      <c r="F97" s="814"/>
      <c r="G97" s="800" t="s">
        <v>3901</v>
      </c>
      <c r="H97" s="814"/>
      <c r="I97" s="804" t="s">
        <v>3917</v>
      </c>
      <c r="J97" s="804" t="s">
        <v>3913</v>
      </c>
      <c r="K97" s="474">
        <v>390</v>
      </c>
      <c r="L97" s="2169">
        <v>0.9</v>
      </c>
      <c r="M97" s="474">
        <v>0</v>
      </c>
      <c r="N97" s="2178">
        <v>0</v>
      </c>
      <c r="O97" s="3237"/>
      <c r="P97" s="2181">
        <v>2327781769</v>
      </c>
      <c r="Q97" s="2181">
        <f>VLOOKUP($E:$E,[1]Hoja1!$A:$E,3,0)</f>
        <v>2327781769</v>
      </c>
      <c r="R97" s="2181">
        <f>VLOOKUP($E:$E,[1]Hoja1!$A:$E,4,0)</f>
        <v>0</v>
      </c>
      <c r="S97" s="2181">
        <v>0</v>
      </c>
      <c r="T97" s="2859">
        <f t="shared" si="32"/>
        <v>0</v>
      </c>
      <c r="U97" s="2859">
        <f t="shared" si="32"/>
        <v>0</v>
      </c>
      <c r="V97" s="2857"/>
      <c r="W97" s="2857"/>
      <c r="X97" s="419"/>
      <c r="Y97" s="3243"/>
    </row>
    <row r="98" spans="1:25" ht="66">
      <c r="A98" s="2926"/>
      <c r="B98" s="2926"/>
      <c r="C98" s="2926"/>
      <c r="D98" s="3042"/>
      <c r="E98" s="2097" t="s">
        <v>3918</v>
      </c>
      <c r="F98" s="814"/>
      <c r="G98" s="213"/>
      <c r="H98" s="2107"/>
      <c r="I98" s="804" t="s">
        <v>3919</v>
      </c>
      <c r="J98" s="804" t="s">
        <v>3920</v>
      </c>
      <c r="K98" s="474">
        <v>1</v>
      </c>
      <c r="L98" s="2169">
        <v>0.1</v>
      </c>
      <c r="M98" s="474">
        <v>0</v>
      </c>
      <c r="N98" s="2178">
        <v>0</v>
      </c>
      <c r="O98" s="3237"/>
      <c r="P98" s="2181">
        <v>96656751</v>
      </c>
      <c r="Q98" s="2181">
        <f>VLOOKUP($E:$E,[1]Hoja1!$A:$E,3,0)</f>
        <v>96656751</v>
      </c>
      <c r="R98" s="2181">
        <f>VLOOKUP($E:$E,[1]Hoja1!$A:$E,4,0)</f>
        <v>0</v>
      </c>
      <c r="S98" s="2181">
        <v>0</v>
      </c>
      <c r="T98" s="2859">
        <f t="shared" si="32"/>
        <v>0</v>
      </c>
      <c r="U98" s="2859">
        <f t="shared" si="32"/>
        <v>0</v>
      </c>
      <c r="V98" s="2857"/>
      <c r="W98" s="2857"/>
      <c r="X98" s="419"/>
      <c r="Y98" s="3243"/>
    </row>
    <row r="99" spans="1:25" ht="14.4">
      <c r="A99" s="2926">
        <v>4161</v>
      </c>
      <c r="B99" s="2926"/>
      <c r="C99" s="2926" t="s">
        <v>123</v>
      </c>
      <c r="D99" s="3042" t="s">
        <v>3921</v>
      </c>
      <c r="E99" s="2097" t="s">
        <v>3922</v>
      </c>
      <c r="F99" s="814"/>
      <c r="G99" s="800"/>
      <c r="H99" s="814"/>
      <c r="I99" s="804"/>
      <c r="J99" s="804"/>
      <c r="K99" s="803">
        <f>SUM(K100)</f>
        <v>100</v>
      </c>
      <c r="L99" s="249">
        <f>SUM(L100)</f>
        <v>1</v>
      </c>
      <c r="M99" s="474">
        <f>SUM(M100)</f>
        <v>0</v>
      </c>
      <c r="N99" s="2178">
        <f>SUM(N100)</f>
        <v>0</v>
      </c>
      <c r="O99" s="3237">
        <f>+IF(Q99&gt;0,N99,"na")</f>
        <v>0</v>
      </c>
      <c r="P99" s="2181">
        <f>SUM(P100)</f>
        <v>200456800</v>
      </c>
      <c r="Q99" s="2181">
        <f t="shared" ref="Q99:S99" si="35">SUM(Q100)</f>
        <v>200456800</v>
      </c>
      <c r="R99" s="2181">
        <f t="shared" si="35"/>
        <v>0</v>
      </c>
      <c r="S99" s="2181">
        <f t="shared" si="35"/>
        <v>0</v>
      </c>
      <c r="T99" s="2859">
        <f t="shared" si="32"/>
        <v>0</v>
      </c>
      <c r="U99" s="2859">
        <f t="shared" si="32"/>
        <v>0</v>
      </c>
      <c r="V99" s="2858"/>
      <c r="W99" s="2858"/>
      <c r="X99" s="419"/>
      <c r="Y99" s="3243" t="s">
        <v>3895</v>
      </c>
    </row>
    <row r="100" spans="1:25" ht="66">
      <c r="A100" s="2926"/>
      <c r="B100" s="2926"/>
      <c r="C100" s="2926"/>
      <c r="D100" s="3042"/>
      <c r="E100" s="2097" t="s">
        <v>3923</v>
      </c>
      <c r="F100" s="814"/>
      <c r="G100" s="800" t="s">
        <v>3901</v>
      </c>
      <c r="H100" s="814"/>
      <c r="I100" s="804" t="s">
        <v>3912</v>
      </c>
      <c r="J100" s="804" t="s">
        <v>3913</v>
      </c>
      <c r="K100" s="474">
        <v>100</v>
      </c>
      <c r="L100" s="2169">
        <v>1</v>
      </c>
      <c r="M100" s="474">
        <v>0</v>
      </c>
      <c r="N100" s="2178">
        <v>0</v>
      </c>
      <c r="O100" s="3237"/>
      <c r="P100" s="2181">
        <v>200456800</v>
      </c>
      <c r="Q100" s="2181">
        <f>VLOOKUP($E:$E,[1]Hoja1!$A:$E,3,0)</f>
        <v>200456800</v>
      </c>
      <c r="R100" s="2181">
        <f>VLOOKUP($E:$E,[1]Hoja1!$A:$E,4,0)</f>
        <v>0</v>
      </c>
      <c r="S100" s="2181">
        <f>VLOOKUP($E:$E,[1]Hoja1!$A:$E,5,0)</f>
        <v>0</v>
      </c>
      <c r="T100" s="2859">
        <f t="shared" si="32"/>
        <v>0</v>
      </c>
      <c r="U100" s="2859">
        <f t="shared" si="32"/>
        <v>0</v>
      </c>
      <c r="V100" s="2857"/>
      <c r="W100" s="2857"/>
      <c r="X100" s="419"/>
      <c r="Y100" s="3243"/>
    </row>
    <row r="101" spans="1:25" ht="14.4">
      <c r="A101" s="221"/>
      <c r="B101" s="873">
        <v>5202011</v>
      </c>
      <c r="C101" s="873" t="s">
        <v>116</v>
      </c>
      <c r="D101" s="874" t="s">
        <v>3924</v>
      </c>
      <c r="E101" s="2109"/>
      <c r="F101" s="814"/>
      <c r="G101" s="213"/>
      <c r="H101" s="814"/>
      <c r="I101" s="2082"/>
      <c r="J101" s="2082"/>
      <c r="K101" s="215"/>
      <c r="L101" s="2172"/>
      <c r="M101" s="474"/>
      <c r="N101" s="2178"/>
      <c r="O101" s="2179"/>
      <c r="P101" s="2186"/>
      <c r="Q101" s="2182"/>
      <c r="R101" s="2182"/>
      <c r="S101" s="2182"/>
      <c r="T101" s="2858"/>
      <c r="U101" s="2858"/>
      <c r="V101" s="2857"/>
      <c r="W101" s="2857"/>
      <c r="X101" s="419"/>
      <c r="Y101" s="215"/>
    </row>
    <row r="102" spans="1:25" ht="27.6">
      <c r="A102" s="224"/>
      <c r="B102" s="2087">
        <v>52020110004</v>
      </c>
      <c r="C102" s="2087" t="s">
        <v>117</v>
      </c>
      <c r="D102" s="845" t="s">
        <v>3925</v>
      </c>
      <c r="E102" s="2108"/>
      <c r="F102" s="814"/>
      <c r="G102" s="811"/>
      <c r="H102" s="814"/>
      <c r="I102" s="591"/>
      <c r="J102" s="591"/>
      <c r="K102" s="376"/>
      <c r="L102" s="2175"/>
      <c r="M102" s="474"/>
      <c r="N102" s="2178"/>
      <c r="O102" s="2179"/>
      <c r="P102" s="2188"/>
      <c r="Q102" s="2182"/>
      <c r="R102" s="2182"/>
      <c r="S102" s="2182"/>
      <c r="T102" s="2858"/>
      <c r="U102" s="2858"/>
      <c r="V102" s="2857"/>
      <c r="W102" s="2857"/>
      <c r="X102" s="419"/>
      <c r="Y102" s="2113"/>
    </row>
    <row r="103" spans="1:25">
      <c r="A103" s="2926">
        <v>4161</v>
      </c>
      <c r="B103" s="2926"/>
      <c r="C103" s="2926" t="s">
        <v>123</v>
      </c>
      <c r="D103" s="3042" t="s">
        <v>3926</v>
      </c>
      <c r="E103" s="2097" t="s">
        <v>3927</v>
      </c>
      <c r="F103" s="814"/>
      <c r="G103" s="800"/>
      <c r="H103" s="814"/>
      <c r="I103" s="804"/>
      <c r="J103" s="804"/>
      <c r="K103" s="803">
        <f>SUM(K104:K105)</f>
        <v>4</v>
      </c>
      <c r="L103" s="249">
        <f>SUM(L104:L105)</f>
        <v>1</v>
      </c>
      <c r="M103" s="474">
        <f>SUM(M104)</f>
        <v>0</v>
      </c>
      <c r="N103" s="2178">
        <f>SUM(N104)</f>
        <v>0</v>
      </c>
      <c r="O103" s="3237">
        <f>+IF(Q103&gt;0,N103,"na")</f>
        <v>0</v>
      </c>
      <c r="P103" s="2181">
        <f>SUM(P104:P105)</f>
        <v>481945255</v>
      </c>
      <c r="Q103" s="2181">
        <f t="shared" ref="Q103:S103" si="36">SUM(Q104:Q105)</f>
        <v>481945255</v>
      </c>
      <c r="R103" s="2181">
        <f t="shared" si="36"/>
        <v>0</v>
      </c>
      <c r="S103" s="2181">
        <f t="shared" si="36"/>
        <v>0</v>
      </c>
      <c r="T103" s="2859">
        <f t="shared" ref="T103:U105" si="37">+IF(Q103&gt;0,R103/Q103,0)</f>
        <v>0</v>
      </c>
      <c r="U103" s="2859">
        <f t="shared" si="37"/>
        <v>0</v>
      </c>
      <c r="V103" s="2857"/>
      <c r="W103" s="2857"/>
      <c r="X103" s="419"/>
      <c r="Y103" s="3243" t="s">
        <v>3768</v>
      </c>
    </row>
    <row r="104" spans="1:25" ht="105.6">
      <c r="A104" s="2926"/>
      <c r="B104" s="2926"/>
      <c r="C104" s="2926"/>
      <c r="D104" s="3042"/>
      <c r="E104" s="2097" t="s">
        <v>3928</v>
      </c>
      <c r="F104" s="3244"/>
      <c r="G104" s="2114" t="s">
        <v>3925</v>
      </c>
      <c r="H104" s="3244"/>
      <c r="I104" s="804" t="s">
        <v>3929</v>
      </c>
      <c r="J104" s="804" t="s">
        <v>3930</v>
      </c>
      <c r="K104" s="474">
        <v>3</v>
      </c>
      <c r="L104" s="2169">
        <v>0.8</v>
      </c>
      <c r="M104" s="474">
        <v>0</v>
      </c>
      <c r="N104" s="2178">
        <v>0</v>
      </c>
      <c r="O104" s="3237"/>
      <c r="P104" s="2181">
        <v>313243000</v>
      </c>
      <c r="Q104" s="2181">
        <f>VLOOKUP($E:$E,[1]Hoja1!$A:$E,3,0)</f>
        <v>313243000</v>
      </c>
      <c r="R104" s="2181">
        <f>VLOOKUP($E:$E,[1]Hoja1!$A:$E,4,0)</f>
        <v>0</v>
      </c>
      <c r="S104" s="2181">
        <f>VLOOKUP($E:$E,[1]Hoja1!$A:$E,5,0)</f>
        <v>0</v>
      </c>
      <c r="T104" s="2859">
        <f t="shared" si="37"/>
        <v>0</v>
      </c>
      <c r="U104" s="2859">
        <f t="shared" si="37"/>
        <v>0</v>
      </c>
      <c r="V104" s="2857"/>
      <c r="W104" s="2857"/>
      <c r="X104" s="419"/>
      <c r="Y104" s="3243"/>
    </row>
    <row r="105" spans="1:25" ht="39.6">
      <c r="A105" s="2926"/>
      <c r="B105" s="2926"/>
      <c r="C105" s="2926"/>
      <c r="D105" s="3042"/>
      <c r="E105" s="2097" t="s">
        <v>3931</v>
      </c>
      <c r="F105" s="3244"/>
      <c r="G105" s="2114"/>
      <c r="H105" s="3244"/>
      <c r="I105" s="804" t="s">
        <v>3932</v>
      </c>
      <c r="J105" s="804" t="s">
        <v>3933</v>
      </c>
      <c r="K105" s="474">
        <v>1</v>
      </c>
      <c r="L105" s="2169">
        <v>0.2</v>
      </c>
      <c r="M105" s="474">
        <v>0</v>
      </c>
      <c r="N105" s="2178">
        <v>0</v>
      </c>
      <c r="O105" s="3237"/>
      <c r="P105" s="2181">
        <v>168702255</v>
      </c>
      <c r="Q105" s="2181">
        <f>VLOOKUP($E:$E,[1]Hoja1!$A:$E,3,0)</f>
        <v>168702255</v>
      </c>
      <c r="R105" s="2181">
        <f>VLOOKUP($E:$E,[1]Hoja1!$A:$E,4,0)</f>
        <v>0</v>
      </c>
      <c r="S105" s="2181">
        <f>VLOOKUP($E:$E,[1]Hoja1!$A:$E,5,0)</f>
        <v>0</v>
      </c>
      <c r="T105" s="2859">
        <f t="shared" si="37"/>
        <v>0</v>
      </c>
      <c r="U105" s="2859">
        <f t="shared" si="37"/>
        <v>0</v>
      </c>
      <c r="V105" s="2857"/>
      <c r="W105" s="2857"/>
      <c r="X105" s="419"/>
      <c r="Y105" s="3243"/>
    </row>
    <row r="106" spans="1:25" ht="15.6">
      <c r="A106" s="815"/>
      <c r="B106" s="837">
        <v>5203</v>
      </c>
      <c r="C106" s="837" t="s">
        <v>115</v>
      </c>
      <c r="D106" s="838" t="s">
        <v>163</v>
      </c>
      <c r="E106" s="2110"/>
      <c r="F106" s="814"/>
      <c r="G106" s="213"/>
      <c r="H106" s="814"/>
      <c r="I106" s="2072"/>
      <c r="J106" s="2101"/>
      <c r="K106" s="816"/>
      <c r="L106" s="2171"/>
      <c r="M106" s="474"/>
      <c r="N106" s="2178"/>
      <c r="O106" s="2179"/>
      <c r="P106" s="2187"/>
      <c r="Q106" s="2182"/>
      <c r="R106" s="2182"/>
      <c r="S106" s="2182"/>
      <c r="T106" s="2858"/>
      <c r="U106" s="2858"/>
      <c r="V106" s="2857"/>
      <c r="W106" s="2857"/>
      <c r="X106" s="419"/>
      <c r="Y106" s="2111"/>
    </row>
    <row r="107" spans="1:25" ht="14.4">
      <c r="A107" s="221"/>
      <c r="B107" s="873">
        <v>5203007</v>
      </c>
      <c r="C107" s="873" t="s">
        <v>116</v>
      </c>
      <c r="D107" s="874" t="s">
        <v>3934</v>
      </c>
      <c r="E107" s="2109"/>
      <c r="F107" s="814"/>
      <c r="G107" s="213"/>
      <c r="H107" s="814"/>
      <c r="I107" s="2082"/>
      <c r="J107" s="2082"/>
      <c r="K107" s="215"/>
      <c r="L107" s="2172"/>
      <c r="M107" s="474"/>
      <c r="N107" s="2178"/>
      <c r="O107" s="2179"/>
      <c r="P107" s="2186"/>
      <c r="Q107" s="2182"/>
      <c r="R107" s="2182"/>
      <c r="S107" s="2182"/>
      <c r="T107" s="2858"/>
      <c r="U107" s="2858"/>
      <c r="V107" s="2857"/>
      <c r="W107" s="2857"/>
      <c r="X107" s="419"/>
      <c r="Y107" s="215"/>
    </row>
    <row r="108" spans="1:25" ht="27.6">
      <c r="A108" s="224"/>
      <c r="B108" s="2087">
        <v>52030070006</v>
      </c>
      <c r="C108" s="2087" t="s">
        <v>117</v>
      </c>
      <c r="D108" s="845" t="s">
        <v>3935</v>
      </c>
      <c r="E108" s="2108"/>
      <c r="F108" s="814"/>
      <c r="G108" s="2115"/>
      <c r="H108" s="814"/>
      <c r="I108" s="591"/>
      <c r="J108" s="591"/>
      <c r="K108" s="376"/>
      <c r="L108" s="2175"/>
      <c r="M108" s="474"/>
      <c r="N108" s="2178"/>
      <c r="O108" s="2179"/>
      <c r="P108" s="2188"/>
      <c r="Q108" s="2182"/>
      <c r="R108" s="2182"/>
      <c r="S108" s="2182"/>
      <c r="T108" s="2858"/>
      <c r="U108" s="2858"/>
      <c r="V108" s="2857"/>
      <c r="W108" s="2857"/>
      <c r="X108" s="419"/>
      <c r="Y108" s="2113"/>
    </row>
    <row r="109" spans="1:25" ht="14.4">
      <c r="A109" s="2926">
        <v>4161</v>
      </c>
      <c r="B109" s="2926"/>
      <c r="C109" s="2926" t="s">
        <v>123</v>
      </c>
      <c r="D109" s="3042" t="s">
        <v>3936</v>
      </c>
      <c r="E109" s="2097" t="s">
        <v>3937</v>
      </c>
      <c r="F109" s="814"/>
      <c r="G109" s="800"/>
      <c r="H109" s="814"/>
      <c r="I109" s="804"/>
      <c r="J109" s="804"/>
      <c r="K109" s="803">
        <f>SUM(K110)</f>
        <v>150</v>
      </c>
      <c r="L109" s="249">
        <f>SUM(L110:L111)</f>
        <v>1</v>
      </c>
      <c r="M109" s="474">
        <f>SUM(M110:M111)</f>
        <v>187</v>
      </c>
      <c r="N109" s="2178">
        <f>SUM(N110:N111)</f>
        <v>1</v>
      </c>
      <c r="O109" s="3237">
        <f>+IF(Q109&gt;0,N109,"na")</f>
        <v>1</v>
      </c>
      <c r="P109" s="2181">
        <f>SUM(P110:P111)</f>
        <v>3160759900</v>
      </c>
      <c r="Q109" s="2181">
        <f t="shared" ref="Q109:S109" si="38">SUM(Q110:Q111)</f>
        <v>841886240</v>
      </c>
      <c r="R109" s="2181">
        <f t="shared" si="38"/>
        <v>585412500</v>
      </c>
      <c r="S109" s="2181">
        <f t="shared" si="38"/>
        <v>214847000</v>
      </c>
      <c r="T109" s="2859">
        <f t="shared" ref="T109:U114" si="39">+IF(Q109&gt;0,R109/Q109,0)</f>
        <v>0.6953581994640986</v>
      </c>
      <c r="U109" s="2859">
        <f t="shared" si="39"/>
        <v>0.36700104627079194</v>
      </c>
      <c r="V109" s="2858"/>
      <c r="W109" s="2858"/>
      <c r="X109" s="419"/>
      <c r="Y109" s="3243" t="s">
        <v>3748</v>
      </c>
    </row>
    <row r="110" spans="1:25" ht="105.6">
      <c r="A110" s="2926"/>
      <c r="B110" s="2926"/>
      <c r="C110" s="2926"/>
      <c r="D110" s="3042"/>
      <c r="E110" s="2097" t="s">
        <v>3938</v>
      </c>
      <c r="F110" s="814"/>
      <c r="G110" s="800" t="s">
        <v>3935</v>
      </c>
      <c r="H110" s="814"/>
      <c r="I110" s="804" t="s">
        <v>3939</v>
      </c>
      <c r="J110" s="804" t="s">
        <v>3940</v>
      </c>
      <c r="K110" s="474">
        <v>150</v>
      </c>
      <c r="L110" s="2169">
        <v>1</v>
      </c>
      <c r="M110" s="474">
        <v>187</v>
      </c>
      <c r="N110" s="2178">
        <v>1</v>
      </c>
      <c r="O110" s="3237"/>
      <c r="P110" s="2181">
        <v>2930632000</v>
      </c>
      <c r="Q110" s="2181">
        <f>VLOOKUP($E:$E,[1]Hoja1!$A:$E,3,0)</f>
        <v>841886240</v>
      </c>
      <c r="R110" s="2181">
        <f>VLOOKUP($E:$E,[1]Hoja1!$A:$E,4,0)</f>
        <v>585412500</v>
      </c>
      <c r="S110" s="2181">
        <f>VLOOKUP($E:$E,[1]Hoja1!$A:$E,5,0)</f>
        <v>214847000</v>
      </c>
      <c r="T110" s="2859">
        <f t="shared" si="39"/>
        <v>0.6953581994640986</v>
      </c>
      <c r="U110" s="2859">
        <f t="shared" si="39"/>
        <v>0.36700104627079194</v>
      </c>
      <c r="V110" s="2857">
        <v>45309</v>
      </c>
      <c r="W110" s="2857">
        <v>45657</v>
      </c>
      <c r="X110" s="419" t="s">
        <v>3941</v>
      </c>
      <c r="Y110" s="3243"/>
    </row>
    <row r="111" spans="1:25" ht="52.8">
      <c r="A111" s="2926"/>
      <c r="B111" s="2926"/>
      <c r="C111" s="2926"/>
      <c r="D111" s="3042"/>
      <c r="E111" s="2097" t="s">
        <v>3942</v>
      </c>
      <c r="F111" s="814"/>
      <c r="G111" s="800"/>
      <c r="H111" s="814"/>
      <c r="I111" s="804" t="s">
        <v>3943</v>
      </c>
      <c r="J111" s="804" t="s">
        <v>3944</v>
      </c>
      <c r="K111" s="474">
        <v>1</v>
      </c>
      <c r="L111" s="2169">
        <v>0</v>
      </c>
      <c r="M111" s="474">
        <v>0</v>
      </c>
      <c r="N111" s="2178">
        <v>0</v>
      </c>
      <c r="O111" s="3237"/>
      <c r="P111" s="2181">
        <v>230127900</v>
      </c>
      <c r="Q111" s="2181">
        <f>VLOOKUP($E:$E,[1]Hoja1!$A:$E,3,0)</f>
        <v>0</v>
      </c>
      <c r="R111" s="2181">
        <f>VLOOKUP($E:$E,[1]Hoja1!$A:$E,4,0)</f>
        <v>0</v>
      </c>
      <c r="S111" s="2181">
        <f>VLOOKUP($E:$E,[1]Hoja1!$A:$E,5,0)</f>
        <v>0</v>
      </c>
      <c r="T111" s="2859">
        <f t="shared" si="39"/>
        <v>0</v>
      </c>
      <c r="U111" s="2859">
        <f t="shared" si="39"/>
        <v>0</v>
      </c>
      <c r="V111" s="2857"/>
      <c r="W111" s="2857"/>
      <c r="X111" s="419"/>
      <c r="Y111" s="3243"/>
    </row>
    <row r="112" spans="1:25" ht="14.4">
      <c r="A112" s="2926">
        <v>4161</v>
      </c>
      <c r="B112" s="2926"/>
      <c r="C112" s="2926" t="s">
        <v>123</v>
      </c>
      <c r="D112" s="3042" t="s">
        <v>3936</v>
      </c>
      <c r="E112" s="2097" t="s">
        <v>3945</v>
      </c>
      <c r="F112" s="814"/>
      <c r="G112" s="800"/>
      <c r="H112" s="814"/>
      <c r="I112" s="804"/>
      <c r="J112" s="804"/>
      <c r="K112" s="803">
        <f>SUM(K113)</f>
        <v>650</v>
      </c>
      <c r="L112" s="249">
        <f>SUM(L113:L114)</f>
        <v>1</v>
      </c>
      <c r="M112" s="474">
        <f>SUM(M113:M114)</f>
        <v>0</v>
      </c>
      <c r="N112" s="2178">
        <f>SUM(N113:N114)</f>
        <v>0</v>
      </c>
      <c r="O112" s="3237">
        <f>+IF(Q112&gt;0,N112,"na")</f>
        <v>0</v>
      </c>
      <c r="P112" s="2181">
        <f>SUM(P113:P114)</f>
        <v>0</v>
      </c>
      <c r="Q112" s="2181">
        <f t="shared" ref="Q112:S112" si="40">SUM(Q113:Q114)</f>
        <v>2318873660</v>
      </c>
      <c r="R112" s="2181">
        <f t="shared" si="40"/>
        <v>0</v>
      </c>
      <c r="S112" s="2181">
        <f t="shared" si="40"/>
        <v>0</v>
      </c>
      <c r="T112" s="2859">
        <f t="shared" si="39"/>
        <v>0</v>
      </c>
      <c r="U112" s="2859">
        <f t="shared" si="39"/>
        <v>0</v>
      </c>
      <c r="V112" s="2858"/>
      <c r="W112" s="2858"/>
      <c r="X112" s="419"/>
      <c r="Y112" s="3243" t="s">
        <v>3748</v>
      </c>
    </row>
    <row r="113" spans="1:25" ht="79.2">
      <c r="A113" s="2926"/>
      <c r="B113" s="2926"/>
      <c r="C113" s="2926"/>
      <c r="D113" s="3042"/>
      <c r="E113" s="2097" t="s">
        <v>3946</v>
      </c>
      <c r="F113" s="814"/>
      <c r="G113" s="800" t="s">
        <v>3935</v>
      </c>
      <c r="H113" s="814"/>
      <c r="I113" s="804" t="s">
        <v>3947</v>
      </c>
      <c r="J113" s="804" t="s">
        <v>3948</v>
      </c>
      <c r="K113" s="474">
        <v>650</v>
      </c>
      <c r="L113" s="2169">
        <v>0.85</v>
      </c>
      <c r="M113" s="474">
        <v>0</v>
      </c>
      <c r="N113" s="2178">
        <v>0</v>
      </c>
      <c r="O113" s="3237"/>
      <c r="P113" s="2181">
        <v>0</v>
      </c>
      <c r="Q113" s="2181">
        <f>VLOOKUP($E:$E,[1]Hoja1!$A:$E,3,0)</f>
        <v>2114807160</v>
      </c>
      <c r="R113" s="2181">
        <v>0</v>
      </c>
      <c r="S113" s="2181">
        <f>VLOOKUP($E:$E,[1]Hoja1!$A:$E,5,0)</f>
        <v>0</v>
      </c>
      <c r="T113" s="2859">
        <f t="shared" si="39"/>
        <v>0</v>
      </c>
      <c r="U113" s="2859">
        <f t="shared" si="39"/>
        <v>0</v>
      </c>
      <c r="V113" s="2857"/>
      <c r="W113" s="2857"/>
      <c r="X113" s="419"/>
      <c r="Y113" s="3243"/>
    </row>
    <row r="114" spans="1:25" ht="79.2">
      <c r="A114" s="2926"/>
      <c r="B114" s="2926"/>
      <c r="C114" s="2926"/>
      <c r="D114" s="3042"/>
      <c r="E114" s="2097" t="s">
        <v>3949</v>
      </c>
      <c r="F114" s="814"/>
      <c r="G114" s="800"/>
      <c r="H114" s="814"/>
      <c r="I114" s="804" t="s">
        <v>3950</v>
      </c>
      <c r="J114" s="804" t="s">
        <v>120</v>
      </c>
      <c r="K114" s="474">
        <v>100</v>
      </c>
      <c r="L114" s="2169">
        <v>0.15</v>
      </c>
      <c r="M114" s="474">
        <v>0</v>
      </c>
      <c r="N114" s="2178">
        <v>0</v>
      </c>
      <c r="O114" s="3237"/>
      <c r="P114" s="2181">
        <v>0</v>
      </c>
      <c r="Q114" s="2181">
        <f>VLOOKUP($E:$E,[1]Hoja1!$A:$E,3,0)</f>
        <v>204066500</v>
      </c>
      <c r="R114" s="2181">
        <v>0</v>
      </c>
      <c r="S114" s="2181">
        <f>VLOOKUP($E:$E,[1]Hoja1!$A:$E,5,0)</f>
        <v>0</v>
      </c>
      <c r="T114" s="2859">
        <f t="shared" si="39"/>
        <v>0</v>
      </c>
      <c r="U114" s="2859">
        <f t="shared" si="39"/>
        <v>0</v>
      </c>
      <c r="V114" s="2857"/>
      <c r="W114" s="2857"/>
      <c r="X114" s="419"/>
      <c r="Y114" s="3243"/>
    </row>
    <row r="115" spans="1:25" ht="27.6">
      <c r="A115" s="224"/>
      <c r="B115" s="2087">
        <v>52030070007</v>
      </c>
      <c r="C115" s="2087" t="s">
        <v>117</v>
      </c>
      <c r="D115" s="845" t="s">
        <v>3951</v>
      </c>
      <c r="E115" s="2108"/>
      <c r="F115" s="814"/>
      <c r="G115" s="800"/>
      <c r="H115" s="814"/>
      <c r="I115" s="2112"/>
      <c r="J115" s="591"/>
      <c r="K115" s="217"/>
      <c r="L115" s="2170"/>
      <c r="M115" s="474"/>
      <c r="N115" s="2178"/>
      <c r="O115" s="2179"/>
      <c r="P115" s="2185"/>
      <c r="Q115" s="2182"/>
      <c r="R115" s="2182"/>
      <c r="S115" s="2182"/>
      <c r="T115" s="2858"/>
      <c r="U115" s="2858"/>
      <c r="V115" s="2857"/>
      <c r="W115" s="2857"/>
      <c r="X115" s="419"/>
      <c r="Y115" s="217"/>
    </row>
    <row r="116" spans="1:25" ht="14.4">
      <c r="A116" s="2926">
        <v>4161</v>
      </c>
      <c r="B116" s="2926"/>
      <c r="C116" s="2926" t="s">
        <v>123</v>
      </c>
      <c r="D116" s="3031" t="s">
        <v>3952</v>
      </c>
      <c r="E116" s="2116" t="s">
        <v>3953</v>
      </c>
      <c r="F116" s="814"/>
      <c r="G116" s="800"/>
      <c r="H116" s="814"/>
      <c r="I116" s="800"/>
      <c r="J116" s="800"/>
      <c r="K116" s="803">
        <f>SUM(K117)</f>
        <v>13</v>
      </c>
      <c r="L116" s="249">
        <f>SUM(L117)</f>
        <v>1</v>
      </c>
      <c r="M116" s="474">
        <f>SUM(M117)</f>
        <v>17</v>
      </c>
      <c r="N116" s="2178">
        <f>SUM(N117)</f>
        <v>0.3</v>
      </c>
      <c r="O116" s="3237">
        <f>+IF(Q116&gt;0,N116,"na")</f>
        <v>0.3</v>
      </c>
      <c r="P116" s="2095">
        <f>SUM(P117:P117)</f>
        <v>230915000</v>
      </c>
      <c r="Q116" s="2095">
        <f t="shared" ref="Q116:S116" si="41">SUM(Q117:Q117)</f>
        <v>230915000</v>
      </c>
      <c r="R116" s="2095">
        <f t="shared" si="41"/>
        <v>42976000</v>
      </c>
      <c r="S116" s="2095">
        <f t="shared" si="41"/>
        <v>29653000</v>
      </c>
      <c r="T116" s="2859">
        <f>+IF(Q116&gt;0,R116/Q116,0)</f>
        <v>0.18611177273022542</v>
      </c>
      <c r="U116" s="2859">
        <f>+IF(R116&gt;0,S116/R116,0)</f>
        <v>0.68998976172747584</v>
      </c>
      <c r="V116" s="2858"/>
      <c r="W116" s="2858"/>
      <c r="X116" s="419"/>
      <c r="Y116" s="3242" t="s">
        <v>3748</v>
      </c>
    </row>
    <row r="117" spans="1:25" ht="92.4">
      <c r="A117" s="2926"/>
      <c r="B117" s="2926"/>
      <c r="C117" s="2926"/>
      <c r="D117" s="3031"/>
      <c r="E117" s="2116" t="s">
        <v>3954</v>
      </c>
      <c r="F117" s="814"/>
      <c r="G117" s="800" t="s">
        <v>3951</v>
      </c>
      <c r="H117" s="814"/>
      <c r="I117" s="800" t="s">
        <v>3955</v>
      </c>
      <c r="J117" s="800" t="s">
        <v>3956</v>
      </c>
      <c r="K117" s="474">
        <v>13</v>
      </c>
      <c r="L117" s="2169">
        <v>1</v>
      </c>
      <c r="M117" s="474">
        <v>17</v>
      </c>
      <c r="N117" s="2178">
        <v>0.3</v>
      </c>
      <c r="O117" s="3237"/>
      <c r="P117" s="2181">
        <v>230915000</v>
      </c>
      <c r="Q117" s="2181">
        <f>VLOOKUP($E:$E,[1]Hoja1!$A:$E,3,0)</f>
        <v>230915000</v>
      </c>
      <c r="R117" s="2181">
        <f>VLOOKUP($E:$E,[1]Hoja1!$A:$E,4,0)</f>
        <v>42976000</v>
      </c>
      <c r="S117" s="2181">
        <f>VLOOKUP($E:$E,[1]Hoja1!$A:$E,5,0)</f>
        <v>29653000</v>
      </c>
      <c r="T117" s="2859">
        <f>+IF(Q117&gt;0,R117/Q117,0)</f>
        <v>0.18611177273022542</v>
      </c>
      <c r="U117" s="2859">
        <f>+IF(R117&gt;0,S117/R117,0)</f>
        <v>0.68998976172747584</v>
      </c>
      <c r="V117" s="2857">
        <v>45304</v>
      </c>
      <c r="W117" s="2857">
        <v>45657</v>
      </c>
      <c r="X117" s="419" t="s">
        <v>3957</v>
      </c>
      <c r="Y117" s="3242"/>
    </row>
    <row r="118" spans="1:25" ht="15.6">
      <c r="A118" s="815"/>
      <c r="B118" s="837">
        <v>53</v>
      </c>
      <c r="C118" s="837" t="s">
        <v>114</v>
      </c>
      <c r="D118" s="2168" t="s">
        <v>3958</v>
      </c>
      <c r="E118" s="2110"/>
      <c r="F118" s="814"/>
      <c r="G118" s="800"/>
      <c r="H118" s="814"/>
      <c r="I118" s="2072"/>
      <c r="J118" s="2101"/>
      <c r="K118" s="816"/>
      <c r="L118" s="2171"/>
      <c r="M118" s="474"/>
      <c r="N118" s="2178"/>
      <c r="O118" s="2179"/>
      <c r="P118" s="2183"/>
      <c r="Q118" s="2182"/>
      <c r="R118" s="2182"/>
      <c r="S118" s="2182"/>
      <c r="T118" s="2858"/>
      <c r="U118" s="2858"/>
      <c r="V118" s="2857"/>
      <c r="W118" s="2857"/>
      <c r="X118" s="419"/>
      <c r="Y118" s="816"/>
    </row>
    <row r="119" spans="1:25" ht="15.6">
      <c r="A119" s="815"/>
      <c r="B119" s="837">
        <v>5301</v>
      </c>
      <c r="C119" s="837" t="s">
        <v>115</v>
      </c>
      <c r="D119" s="838" t="s">
        <v>262</v>
      </c>
      <c r="E119" s="2110"/>
      <c r="F119" s="814"/>
      <c r="G119" s="800"/>
      <c r="H119" s="814"/>
      <c r="I119" s="2072"/>
      <c r="J119" s="2072"/>
      <c r="K119" s="816"/>
      <c r="L119" s="2171"/>
      <c r="M119" s="474"/>
      <c r="N119" s="2178"/>
      <c r="O119" s="2179"/>
      <c r="P119" s="2183"/>
      <c r="Q119" s="2182"/>
      <c r="R119" s="2182"/>
      <c r="S119" s="2182"/>
      <c r="T119" s="2858"/>
      <c r="U119" s="2858"/>
      <c r="V119" s="2857"/>
      <c r="W119" s="2857"/>
      <c r="X119" s="419"/>
      <c r="Y119" s="816"/>
    </row>
    <row r="120" spans="1:25" ht="14.4">
      <c r="A120" s="221"/>
      <c r="B120" s="873">
        <v>5301003</v>
      </c>
      <c r="C120" s="873" t="s">
        <v>116</v>
      </c>
      <c r="D120" s="874" t="s">
        <v>3959</v>
      </c>
      <c r="E120" s="2109"/>
      <c r="F120" s="814"/>
      <c r="G120" s="800"/>
      <c r="H120" s="814"/>
      <c r="I120" s="2082"/>
      <c r="J120" s="586"/>
      <c r="K120" s="215"/>
      <c r="L120" s="2172"/>
      <c r="M120" s="474"/>
      <c r="N120" s="2178"/>
      <c r="O120" s="2179"/>
      <c r="P120" s="2186"/>
      <c r="Q120" s="2182"/>
      <c r="R120" s="2182"/>
      <c r="S120" s="2182"/>
      <c r="T120" s="2858"/>
      <c r="U120" s="2858"/>
      <c r="V120" s="2857"/>
      <c r="W120" s="2857"/>
      <c r="X120" s="419"/>
      <c r="Y120" s="215"/>
    </row>
    <row r="121" spans="1:25" ht="14.4">
      <c r="A121" s="224"/>
      <c r="B121" s="2087">
        <v>53010030005</v>
      </c>
      <c r="C121" s="2087" t="s">
        <v>117</v>
      </c>
      <c r="D121" s="845" t="s">
        <v>3960</v>
      </c>
      <c r="E121" s="2108"/>
      <c r="F121" s="814"/>
      <c r="G121" s="800"/>
      <c r="H121" s="814"/>
      <c r="I121" s="2112"/>
      <c r="J121" s="2112"/>
      <c r="K121" s="217"/>
      <c r="L121" s="2170"/>
      <c r="M121" s="474"/>
      <c r="N121" s="2178"/>
      <c r="O121" s="2179"/>
      <c r="P121" s="2185"/>
      <c r="Q121" s="2182"/>
      <c r="R121" s="2182"/>
      <c r="S121" s="2182"/>
      <c r="T121" s="2858"/>
      <c r="U121" s="2858"/>
      <c r="V121" s="2857"/>
      <c r="W121" s="2857"/>
      <c r="X121" s="419"/>
      <c r="Y121" s="217"/>
    </row>
    <row r="122" spans="1:25" ht="14.4">
      <c r="A122" s="2926">
        <v>4161</v>
      </c>
      <c r="B122" s="2926"/>
      <c r="C122" s="2926" t="s">
        <v>123</v>
      </c>
      <c r="D122" s="3042" t="s">
        <v>3961</v>
      </c>
      <c r="E122" s="2097" t="s">
        <v>3962</v>
      </c>
      <c r="F122" s="814"/>
      <c r="G122" s="212"/>
      <c r="H122" s="814"/>
      <c r="I122" s="800"/>
      <c r="J122" s="804"/>
      <c r="K122" s="803">
        <f>SUM(K123)</f>
        <v>32</v>
      </c>
      <c r="L122" s="249">
        <f>SUM(L123)</f>
        <v>1</v>
      </c>
      <c r="M122" s="474">
        <f>SUM(M123)</f>
        <v>0</v>
      </c>
      <c r="N122" s="2178">
        <f>SUM(N123)</f>
        <v>0.06</v>
      </c>
      <c r="O122" s="3237">
        <f>+IF(Q122&gt;0,N122,"na")</f>
        <v>0.06</v>
      </c>
      <c r="P122" s="2189">
        <f>SUM(P123:P123)</f>
        <v>1498365249</v>
      </c>
      <c r="Q122" s="2189">
        <f t="shared" ref="Q122:S122" si="42">SUM(Q123:Q123)</f>
        <v>1498365249</v>
      </c>
      <c r="R122" s="2189">
        <f t="shared" si="42"/>
        <v>86184000</v>
      </c>
      <c r="S122" s="2189">
        <f t="shared" si="42"/>
        <v>0</v>
      </c>
      <c r="T122" s="2859">
        <f>+IF(Q122&gt;0,R122/Q122,0)</f>
        <v>5.7518685819441348E-2</v>
      </c>
      <c r="U122" s="2859">
        <f>+IF(R122&gt;0,S122/R122,0)</f>
        <v>0</v>
      </c>
      <c r="V122" s="2858"/>
      <c r="W122" s="2858"/>
      <c r="X122" s="419"/>
      <c r="Y122" s="3242" t="s">
        <v>3768</v>
      </c>
    </row>
    <row r="123" spans="1:25" ht="132">
      <c r="A123" s="2926"/>
      <c r="B123" s="2926"/>
      <c r="C123" s="2926"/>
      <c r="D123" s="3042"/>
      <c r="E123" s="2097" t="s">
        <v>3963</v>
      </c>
      <c r="F123" s="814"/>
      <c r="G123" s="2114" t="s">
        <v>3960</v>
      </c>
      <c r="H123" s="814"/>
      <c r="I123" s="800" t="s">
        <v>3964</v>
      </c>
      <c r="J123" s="800" t="s">
        <v>3965</v>
      </c>
      <c r="K123" s="474">
        <v>32</v>
      </c>
      <c r="L123" s="2169">
        <v>1</v>
      </c>
      <c r="M123" s="474">
        <v>0</v>
      </c>
      <c r="N123" s="2849">
        <v>0.06</v>
      </c>
      <c r="O123" s="3237"/>
      <c r="P123" s="2181">
        <v>1498365249</v>
      </c>
      <c r="Q123" s="2181">
        <f>VLOOKUP($E:$E,[1]Hoja1!$A:$E,3,0)</f>
        <v>1498365249</v>
      </c>
      <c r="R123" s="2181">
        <f>VLOOKUP($E:$E,[1]Hoja1!$A:$E,4,0)</f>
        <v>86184000</v>
      </c>
      <c r="S123" s="2181">
        <f>VLOOKUP($E:$E,[1]Hoja1!$A:$E,5,0)</f>
        <v>0</v>
      </c>
      <c r="T123" s="2859">
        <f>+IF(Q123&gt;0,R123/Q123,0)</f>
        <v>5.7518685819441348E-2</v>
      </c>
      <c r="U123" s="2859">
        <f>+IF(R123&gt;0,S123/R123,0)</f>
        <v>0</v>
      </c>
      <c r="V123" s="2857">
        <v>45309</v>
      </c>
      <c r="W123" s="2857">
        <v>45657</v>
      </c>
      <c r="X123" s="2850" t="s">
        <v>5397</v>
      </c>
      <c r="Y123" s="3242"/>
    </row>
    <row r="124" spans="1:25" ht="15.6">
      <c r="A124" s="815"/>
      <c r="B124" s="837">
        <v>5305</v>
      </c>
      <c r="C124" s="837" t="s">
        <v>115</v>
      </c>
      <c r="D124" s="838" t="s">
        <v>1103</v>
      </c>
      <c r="E124" s="2110"/>
      <c r="F124" s="2117"/>
      <c r="G124" s="2071"/>
      <c r="H124" s="814"/>
      <c r="I124" s="2072"/>
      <c r="J124" s="2072"/>
      <c r="K124" s="816"/>
      <c r="L124" s="2176"/>
      <c r="M124" s="474"/>
      <c r="N124" s="2178"/>
      <c r="O124" s="2179"/>
      <c r="P124" s="2187"/>
      <c r="Q124" s="2182"/>
      <c r="R124" s="2182"/>
      <c r="S124" s="2182"/>
      <c r="T124" s="2858"/>
      <c r="U124" s="2858"/>
      <c r="V124" s="2857"/>
      <c r="W124" s="2857"/>
      <c r="X124" s="419"/>
      <c r="Y124" s="2118"/>
    </row>
    <row r="125" spans="1:25" ht="14.4">
      <c r="A125" s="221"/>
      <c r="B125" s="873">
        <v>5305002</v>
      </c>
      <c r="C125" s="873" t="s">
        <v>116</v>
      </c>
      <c r="D125" s="874" t="s">
        <v>3966</v>
      </c>
      <c r="E125" s="2109"/>
      <c r="F125" s="814"/>
      <c r="G125" s="800"/>
      <c r="H125" s="814"/>
      <c r="I125" s="2082"/>
      <c r="J125" s="586"/>
      <c r="K125" s="215"/>
      <c r="L125" s="2172"/>
      <c r="M125" s="474"/>
      <c r="N125" s="2178"/>
      <c r="O125" s="2179"/>
      <c r="P125" s="2186"/>
      <c r="Q125" s="2182"/>
      <c r="R125" s="2182"/>
      <c r="S125" s="2182"/>
      <c r="T125" s="2858"/>
      <c r="U125" s="2858"/>
      <c r="V125" s="2857"/>
      <c r="W125" s="2857"/>
      <c r="X125" s="419"/>
      <c r="Y125" s="215"/>
    </row>
    <row r="126" spans="1:25" ht="14.4">
      <c r="A126" s="224"/>
      <c r="B126" s="2087">
        <v>53050020012</v>
      </c>
      <c r="C126" s="2087" t="s">
        <v>117</v>
      </c>
      <c r="D126" s="845" t="s">
        <v>3967</v>
      </c>
      <c r="E126" s="2108"/>
      <c r="F126" s="814"/>
      <c r="G126" s="800"/>
      <c r="H126" s="814"/>
      <c r="I126" s="2112"/>
      <c r="J126" s="2112"/>
      <c r="K126" s="217"/>
      <c r="L126" s="2170"/>
      <c r="M126" s="474"/>
      <c r="N126" s="2178"/>
      <c r="O126" s="2179"/>
      <c r="P126" s="2185"/>
      <c r="Q126" s="2182"/>
      <c r="R126" s="2182"/>
      <c r="S126" s="2182"/>
      <c r="T126" s="2858"/>
      <c r="U126" s="2858"/>
      <c r="V126" s="2857"/>
      <c r="W126" s="2857"/>
      <c r="X126" s="419"/>
      <c r="Y126" s="217"/>
    </row>
    <row r="127" spans="1:25" ht="14.4">
      <c r="A127" s="2926">
        <v>4161</v>
      </c>
      <c r="B127" s="2926"/>
      <c r="C127" s="2926" t="s">
        <v>123</v>
      </c>
      <c r="D127" s="3042" t="s">
        <v>3968</v>
      </c>
      <c r="E127" s="2097" t="s">
        <v>3969</v>
      </c>
      <c r="F127" s="814"/>
      <c r="G127" s="212"/>
      <c r="H127" s="2119"/>
      <c r="I127" s="800"/>
      <c r="J127" s="804"/>
      <c r="K127" s="803">
        <f>SUM(K128)</f>
        <v>7</v>
      </c>
      <c r="L127" s="249">
        <f>SUM(L128)</f>
        <v>1</v>
      </c>
      <c r="M127" s="474">
        <f>SUM(M128)</f>
        <v>0</v>
      </c>
      <c r="N127" s="2178">
        <f>SUM(N128)</f>
        <v>0</v>
      </c>
      <c r="O127" s="3237">
        <f>+IF(Q127&gt;0,N127,"na")</f>
        <v>0</v>
      </c>
      <c r="P127" s="2189">
        <f>SUM(P128:P128)</f>
        <v>838782430</v>
      </c>
      <c r="Q127" s="2189">
        <f t="shared" ref="Q127" si="43">SUM(Q128:Q128)</f>
        <v>838782430</v>
      </c>
      <c r="R127" s="2189">
        <v>0</v>
      </c>
      <c r="S127" s="2189">
        <v>0</v>
      </c>
      <c r="T127" s="2859">
        <f>+IF(Q127&gt;0,R127/Q127,0)</f>
        <v>0</v>
      </c>
      <c r="U127" s="2859">
        <f>+IF(R127&gt;0,S127/R127,0)</f>
        <v>0</v>
      </c>
      <c r="V127" s="2858"/>
      <c r="W127" s="2858"/>
      <c r="X127" s="419"/>
      <c r="Y127" s="3242" t="s">
        <v>3768</v>
      </c>
    </row>
    <row r="128" spans="1:25" ht="118.8">
      <c r="A128" s="2926"/>
      <c r="B128" s="2926"/>
      <c r="C128" s="2926"/>
      <c r="D128" s="3042"/>
      <c r="E128" s="2097" t="s">
        <v>3970</v>
      </c>
      <c r="F128" s="814"/>
      <c r="G128" s="2114" t="s">
        <v>3971</v>
      </c>
      <c r="H128" s="814"/>
      <c r="I128" s="800" t="s">
        <v>3972</v>
      </c>
      <c r="J128" s="800" t="s">
        <v>3973</v>
      </c>
      <c r="K128" s="474">
        <v>7</v>
      </c>
      <c r="L128" s="2169">
        <v>1</v>
      </c>
      <c r="M128" s="474">
        <v>0</v>
      </c>
      <c r="N128" s="2178">
        <v>0</v>
      </c>
      <c r="O128" s="3237"/>
      <c r="P128" s="2181">
        <v>838782430</v>
      </c>
      <c r="Q128" s="2181">
        <f>VLOOKUP($E:$E,[1]Hoja1!$A:$E,3,0)</f>
        <v>838782430</v>
      </c>
      <c r="R128" s="2181">
        <v>0</v>
      </c>
      <c r="S128" s="2181">
        <v>0</v>
      </c>
      <c r="T128" s="2859">
        <f>+IF(Q128&gt;0,R128/Q128,0)</f>
        <v>0</v>
      </c>
      <c r="U128" s="2859">
        <f>+IF(R128&gt;0,S128/R128,0)</f>
        <v>0</v>
      </c>
      <c r="V128" s="2857"/>
      <c r="W128" s="2857"/>
      <c r="X128" s="419"/>
      <c r="Y128" s="3242"/>
    </row>
    <row r="129" spans="1:25" ht="15.6">
      <c r="A129" s="815"/>
      <c r="B129" s="837">
        <v>54</v>
      </c>
      <c r="C129" s="837" t="s">
        <v>114</v>
      </c>
      <c r="D129" s="2168" t="s">
        <v>122</v>
      </c>
      <c r="E129" s="2110"/>
      <c r="F129" s="814"/>
      <c r="G129" s="800"/>
      <c r="H129" s="2119"/>
      <c r="I129" s="2072"/>
      <c r="J129" s="2101"/>
      <c r="K129" s="816"/>
      <c r="L129" s="2171"/>
      <c r="M129" s="474"/>
      <c r="N129" s="2178"/>
      <c r="O129" s="2179"/>
      <c r="P129" s="2183"/>
      <c r="Q129" s="2182"/>
      <c r="R129" s="2182"/>
      <c r="S129" s="2182"/>
      <c r="T129" s="2858"/>
      <c r="U129" s="2858"/>
      <c r="V129" s="2857"/>
      <c r="W129" s="2857"/>
      <c r="X129" s="419"/>
      <c r="Y129" s="816"/>
    </row>
    <row r="130" spans="1:25" ht="15.6">
      <c r="A130" s="815"/>
      <c r="B130" s="837">
        <v>5402</v>
      </c>
      <c r="C130" s="837" t="s">
        <v>115</v>
      </c>
      <c r="D130" s="838" t="s">
        <v>118</v>
      </c>
      <c r="E130" s="2110"/>
      <c r="F130" s="814"/>
      <c r="G130" s="800"/>
      <c r="H130" s="2119"/>
      <c r="I130" s="2072"/>
      <c r="J130" s="2072"/>
      <c r="K130" s="816"/>
      <c r="L130" s="2171"/>
      <c r="M130" s="474"/>
      <c r="N130" s="2178"/>
      <c r="O130" s="2179"/>
      <c r="P130" s="2183"/>
      <c r="Q130" s="2182"/>
      <c r="R130" s="2182"/>
      <c r="S130" s="2182"/>
      <c r="T130" s="2858"/>
      <c r="U130" s="2858"/>
      <c r="V130" s="2857"/>
      <c r="W130" s="2857"/>
      <c r="X130" s="419"/>
      <c r="Y130" s="816"/>
    </row>
    <row r="131" spans="1:25" ht="14.4">
      <c r="A131" s="221"/>
      <c r="B131" s="873">
        <v>5402001</v>
      </c>
      <c r="C131" s="873" t="s">
        <v>116</v>
      </c>
      <c r="D131" s="874" t="s">
        <v>119</v>
      </c>
      <c r="E131" s="2109"/>
      <c r="F131" s="814"/>
      <c r="G131" s="800"/>
      <c r="H131" s="2119"/>
      <c r="I131" s="2082"/>
      <c r="J131" s="586"/>
      <c r="K131" s="215"/>
      <c r="L131" s="2172"/>
      <c r="M131" s="474"/>
      <c r="N131" s="2178"/>
      <c r="O131" s="2179"/>
      <c r="P131" s="2186"/>
      <c r="Q131" s="2182"/>
      <c r="R131" s="2182"/>
      <c r="S131" s="2182"/>
      <c r="T131" s="2858"/>
      <c r="U131" s="2858"/>
      <c r="V131" s="2857"/>
      <c r="W131" s="2857"/>
      <c r="X131" s="419"/>
      <c r="Y131" s="215"/>
    </row>
    <row r="132" spans="1:25" ht="41.4">
      <c r="A132" s="224"/>
      <c r="B132" s="2087">
        <v>54020010007</v>
      </c>
      <c r="C132" s="2087" t="s">
        <v>117</v>
      </c>
      <c r="D132" s="845" t="s">
        <v>3974</v>
      </c>
      <c r="E132" s="2108"/>
      <c r="F132" s="814"/>
      <c r="G132" s="800"/>
      <c r="H132" s="814"/>
      <c r="I132" s="2112"/>
      <c r="J132" s="591"/>
      <c r="K132" s="217"/>
      <c r="L132" s="2170"/>
      <c r="M132" s="474"/>
      <c r="N132" s="2178"/>
      <c r="O132" s="2179"/>
      <c r="P132" s="2185"/>
      <c r="Q132" s="2182"/>
      <c r="R132" s="2182"/>
      <c r="S132" s="2182"/>
      <c r="T132" s="2858"/>
      <c r="U132" s="2858"/>
      <c r="V132" s="2857"/>
      <c r="W132" s="2857"/>
      <c r="X132" s="419"/>
      <c r="Y132" s="217"/>
    </row>
    <row r="133" spans="1:25" ht="14.4">
      <c r="A133" s="2926">
        <v>4161</v>
      </c>
      <c r="B133" s="2926"/>
      <c r="C133" s="2926" t="s">
        <v>123</v>
      </c>
      <c r="D133" s="3042" t="s">
        <v>3975</v>
      </c>
      <c r="E133" s="2097" t="s">
        <v>3976</v>
      </c>
      <c r="F133" s="814"/>
      <c r="G133" s="212"/>
      <c r="H133" s="2119"/>
      <c r="I133" s="804"/>
      <c r="J133" s="213"/>
      <c r="K133" s="803">
        <f>SUM(K135:K135)</f>
        <v>1</v>
      </c>
      <c r="L133" s="249">
        <f>SUM(L134:L135)</f>
        <v>1</v>
      </c>
      <c r="M133" s="474">
        <f>SUM(M134:M135)</f>
        <v>0</v>
      </c>
      <c r="N133" s="405">
        <f>SUM(N134:N135)</f>
        <v>0.3</v>
      </c>
      <c r="O133" s="3237">
        <f>+IF(Q133&gt;0,N133,"na")</f>
        <v>0.3</v>
      </c>
      <c r="P133" s="2181">
        <f>SUM(P134:P135)</f>
        <v>5758548534</v>
      </c>
      <c r="Q133" s="2181">
        <f t="shared" ref="Q133:S133" si="44">SUM(Q134:Q135)</f>
        <v>5758548534</v>
      </c>
      <c r="R133" s="2181">
        <f t="shared" si="44"/>
        <v>1438210500</v>
      </c>
      <c r="S133" s="2181">
        <f t="shared" si="44"/>
        <v>816356500</v>
      </c>
      <c r="T133" s="2859">
        <f t="shared" ref="T133:U135" si="45">+IF(Q133&gt;0,R133/Q133,0)</f>
        <v>0.24975225814429161</v>
      </c>
      <c r="U133" s="2859">
        <f t="shared" si="45"/>
        <v>0.56761962174521741</v>
      </c>
      <c r="V133" s="2858"/>
      <c r="W133" s="2858"/>
      <c r="X133" s="419"/>
      <c r="Y133" s="3241" t="s">
        <v>3977</v>
      </c>
    </row>
    <row r="134" spans="1:25" ht="145.19999999999999">
      <c r="A134" s="2926"/>
      <c r="B134" s="2926"/>
      <c r="C134" s="2926"/>
      <c r="D134" s="3042"/>
      <c r="E134" s="2097" t="s">
        <v>3978</v>
      </c>
      <c r="F134" s="814"/>
      <c r="G134" s="800" t="s">
        <v>3974</v>
      </c>
      <c r="H134" s="2100"/>
      <c r="I134" s="804" t="s">
        <v>3979</v>
      </c>
      <c r="J134" s="804" t="s">
        <v>1259</v>
      </c>
      <c r="K134" s="474">
        <v>2</v>
      </c>
      <c r="L134" s="2169">
        <v>0.95</v>
      </c>
      <c r="M134" s="474">
        <v>0</v>
      </c>
      <c r="N134" s="2178">
        <v>0.3</v>
      </c>
      <c r="O134" s="3237"/>
      <c r="P134" s="2181">
        <v>5443157648</v>
      </c>
      <c r="Q134" s="2181">
        <f>VLOOKUP($E:$E,[1]Hoja1!$A:$E,3,0)</f>
        <v>5443157648</v>
      </c>
      <c r="R134" s="2181">
        <f>VLOOKUP($E:$E,[1]Hoja1!$A:$E,4,0)</f>
        <v>1438210500</v>
      </c>
      <c r="S134" s="2181">
        <f>VLOOKUP($E:$E,[1]Hoja1!$A:$E,5,0)</f>
        <v>816356500</v>
      </c>
      <c r="T134" s="2859">
        <f t="shared" si="45"/>
        <v>0.26422356158073929</v>
      </c>
      <c r="U134" s="2859">
        <f t="shared" si="45"/>
        <v>0.56761962174521741</v>
      </c>
      <c r="V134" s="2857">
        <v>45304</v>
      </c>
      <c r="W134" s="2857">
        <v>45657</v>
      </c>
      <c r="X134" s="419" t="s">
        <v>3980</v>
      </c>
      <c r="Y134" s="3241"/>
    </row>
    <row r="135" spans="1:25" ht="26.4">
      <c r="A135" s="2926"/>
      <c r="B135" s="2926"/>
      <c r="C135" s="2926"/>
      <c r="D135" s="3042"/>
      <c r="E135" s="2097" t="s">
        <v>3981</v>
      </c>
      <c r="F135" s="814"/>
      <c r="G135" s="800"/>
      <c r="H135" s="2100"/>
      <c r="I135" s="804" t="s">
        <v>3982</v>
      </c>
      <c r="J135" s="804" t="s">
        <v>220</v>
      </c>
      <c r="K135" s="474">
        <v>1</v>
      </c>
      <c r="L135" s="2169">
        <v>0.05</v>
      </c>
      <c r="M135" s="474">
        <v>0</v>
      </c>
      <c r="N135" s="2178">
        <v>0</v>
      </c>
      <c r="O135" s="3237"/>
      <c r="P135" s="2181">
        <v>315390886</v>
      </c>
      <c r="Q135" s="2181">
        <f>VLOOKUP($E:$E,[1]Hoja1!$A:$E,3,0)</f>
        <v>315390886</v>
      </c>
      <c r="R135" s="2181">
        <f>VLOOKUP($E:$E,[1]Hoja1!$A:$E,4,0)</f>
        <v>0</v>
      </c>
      <c r="S135" s="2181">
        <f>VLOOKUP($E:$E,[1]Hoja1!$A:$E,5,0)</f>
        <v>0</v>
      </c>
      <c r="T135" s="2859">
        <f t="shared" si="45"/>
        <v>0</v>
      </c>
      <c r="U135" s="2859">
        <f t="shared" si="45"/>
        <v>0</v>
      </c>
      <c r="V135" s="2857"/>
      <c r="W135" s="2857"/>
      <c r="X135" s="419"/>
      <c r="Y135" s="3241"/>
    </row>
    <row r="136" spans="1:25" ht="27.6">
      <c r="A136" s="221"/>
      <c r="B136" s="873">
        <v>5402002</v>
      </c>
      <c r="C136" s="873" t="s">
        <v>116</v>
      </c>
      <c r="D136" s="874" t="s">
        <v>590</v>
      </c>
      <c r="E136" s="2109"/>
      <c r="F136" s="814"/>
      <c r="G136" s="800"/>
      <c r="H136" s="2119"/>
      <c r="I136" s="2082"/>
      <c r="J136" s="586"/>
      <c r="K136" s="215"/>
      <c r="L136" s="2172"/>
      <c r="M136" s="474"/>
      <c r="N136" s="2178"/>
      <c r="O136" s="2179"/>
      <c r="P136" s="2186"/>
      <c r="Q136" s="2182"/>
      <c r="R136" s="2182"/>
      <c r="S136" s="2182"/>
      <c r="T136" s="2858"/>
      <c r="U136" s="2858"/>
      <c r="V136" s="2857"/>
      <c r="W136" s="2857"/>
      <c r="X136" s="419"/>
      <c r="Y136" s="215"/>
    </row>
    <row r="137" spans="1:25" ht="14.4">
      <c r="A137" s="224"/>
      <c r="B137" s="2087">
        <v>54020020020</v>
      </c>
      <c r="C137" s="2087" t="s">
        <v>117</v>
      </c>
      <c r="D137" s="845" t="s">
        <v>3983</v>
      </c>
      <c r="E137" s="2108"/>
      <c r="F137" s="814"/>
      <c r="G137" s="800"/>
      <c r="H137" s="814"/>
      <c r="I137" s="2112"/>
      <c r="J137" s="2112"/>
      <c r="K137" s="217"/>
      <c r="L137" s="2170"/>
      <c r="M137" s="474"/>
      <c r="N137" s="2178"/>
      <c r="O137" s="2179"/>
      <c r="P137" s="2185"/>
      <c r="Q137" s="2182"/>
      <c r="R137" s="2182"/>
      <c r="S137" s="2182"/>
      <c r="T137" s="2858"/>
      <c r="U137" s="2858"/>
      <c r="V137" s="2857"/>
      <c r="W137" s="2857"/>
      <c r="X137" s="419"/>
      <c r="Y137" s="215"/>
    </row>
    <row r="138" spans="1:25" ht="14.4">
      <c r="A138" s="2926">
        <v>4161</v>
      </c>
      <c r="B138" s="2926"/>
      <c r="C138" s="2926" t="s">
        <v>123</v>
      </c>
      <c r="D138" s="3240" t="s">
        <v>3984</v>
      </c>
      <c r="E138" s="878" t="s">
        <v>3985</v>
      </c>
      <c r="F138" s="814"/>
      <c r="G138" s="800"/>
      <c r="H138" s="2119"/>
      <c r="I138" s="213"/>
      <c r="J138" s="213"/>
      <c r="K138" s="803">
        <f>SUM(K139)</f>
        <v>1</v>
      </c>
      <c r="L138" s="249">
        <f>SUM(L139:L140)</f>
        <v>1</v>
      </c>
      <c r="M138" s="474">
        <f>SUM(M139:M140)</f>
        <v>0</v>
      </c>
      <c r="N138" s="405">
        <f>SUM(N139:N140)</f>
        <v>0.45</v>
      </c>
      <c r="O138" s="3237">
        <f>+IF(Q138&gt;0,N138,"na")</f>
        <v>0.45</v>
      </c>
      <c r="P138" s="2095">
        <f>SUM(P139:P140)</f>
        <v>659148000</v>
      </c>
      <c r="Q138" s="2095">
        <f t="shared" ref="Q138:S138" si="46">SUM(Q139:Q140)</f>
        <v>659148000</v>
      </c>
      <c r="R138" s="2095">
        <f t="shared" si="46"/>
        <v>432513000</v>
      </c>
      <c r="S138" s="2095">
        <f t="shared" si="46"/>
        <v>218834500</v>
      </c>
      <c r="T138" s="2859">
        <f t="shared" ref="T138:U140" si="47">+IF(Q138&gt;0,R138/Q138,0)</f>
        <v>0.65616978281053728</v>
      </c>
      <c r="U138" s="2859">
        <f t="shared" si="47"/>
        <v>0.50596051448164558</v>
      </c>
      <c r="V138" s="2858"/>
      <c r="W138" s="2858"/>
      <c r="X138" s="419"/>
      <c r="Y138" s="2926" t="s">
        <v>3986</v>
      </c>
    </row>
    <row r="139" spans="1:25" ht="79.2">
      <c r="A139" s="2926"/>
      <c r="B139" s="2926"/>
      <c r="C139" s="2926"/>
      <c r="D139" s="3240"/>
      <c r="E139" s="2097" t="s">
        <v>3987</v>
      </c>
      <c r="F139" s="814"/>
      <c r="G139" s="2114" t="s">
        <v>3983</v>
      </c>
      <c r="H139" s="2100"/>
      <c r="I139" s="382" t="s">
        <v>3988</v>
      </c>
      <c r="J139" s="382" t="s">
        <v>3989</v>
      </c>
      <c r="K139" s="474">
        <v>1</v>
      </c>
      <c r="L139" s="2169">
        <v>0.55000000000000004</v>
      </c>
      <c r="M139" s="474">
        <v>0</v>
      </c>
      <c r="N139" s="2178">
        <v>0.25</v>
      </c>
      <c r="O139" s="3237"/>
      <c r="P139" s="2181">
        <v>300195000</v>
      </c>
      <c r="Q139" s="2181">
        <f>VLOOKUP($E:$E,[1]Hoja1!$A:$E,3,0)</f>
        <v>300195000</v>
      </c>
      <c r="R139" s="2181">
        <f>VLOOKUP($E:$E,[1]Hoja1!$A:$E,4,0)</f>
        <v>200746500</v>
      </c>
      <c r="S139" s="2181">
        <f>VLOOKUP($E:$E,[1]Hoja1!$A:$E,5,0)</f>
        <v>120685500</v>
      </c>
      <c r="T139" s="2859">
        <f t="shared" si="47"/>
        <v>0.66872033178434021</v>
      </c>
      <c r="U139" s="2859">
        <f t="shared" si="47"/>
        <v>0.60118358227914315</v>
      </c>
      <c r="V139" s="2857">
        <v>45309</v>
      </c>
      <c r="W139" s="2857">
        <v>45657</v>
      </c>
      <c r="X139" s="419" t="s">
        <v>3990</v>
      </c>
      <c r="Y139" s="2926"/>
    </row>
    <row r="140" spans="1:25" ht="145.19999999999999">
      <c r="A140" s="2926"/>
      <c r="B140" s="2926"/>
      <c r="C140" s="2926"/>
      <c r="D140" s="3240"/>
      <c r="E140" s="2097" t="s">
        <v>3991</v>
      </c>
      <c r="F140" s="814"/>
      <c r="G140" s="2114"/>
      <c r="H140" s="2119"/>
      <c r="I140" s="382" t="s">
        <v>3992</v>
      </c>
      <c r="J140" s="382" t="s">
        <v>3993</v>
      </c>
      <c r="K140" s="474">
        <v>1</v>
      </c>
      <c r="L140" s="2169">
        <v>0.45</v>
      </c>
      <c r="M140" s="474">
        <v>0</v>
      </c>
      <c r="N140" s="2178">
        <v>0.2</v>
      </c>
      <c r="O140" s="3237"/>
      <c r="P140" s="2181">
        <v>358953000</v>
      </c>
      <c r="Q140" s="2181">
        <f>VLOOKUP($E:$E,[1]Hoja1!$A:$E,3,0)</f>
        <v>358953000</v>
      </c>
      <c r="R140" s="2181">
        <f>VLOOKUP($E:$E,[1]Hoja1!$A:$E,4,0)</f>
        <v>231766500</v>
      </c>
      <c r="S140" s="2181">
        <f>VLOOKUP($E:$E,[1]Hoja1!$A:$E,5,0)</f>
        <v>98149000</v>
      </c>
      <c r="T140" s="2859">
        <f t="shared" si="47"/>
        <v>0.6456736675832212</v>
      </c>
      <c r="U140" s="2859">
        <f t="shared" si="47"/>
        <v>0.42348225476934759</v>
      </c>
      <c r="V140" s="2857">
        <v>45309</v>
      </c>
      <c r="W140" s="2857">
        <v>45657</v>
      </c>
      <c r="X140" s="419" t="s">
        <v>3994</v>
      </c>
      <c r="Y140" s="2926"/>
    </row>
    <row r="141" spans="1:25" ht="14.4">
      <c r="A141" s="221"/>
      <c r="B141" s="873">
        <v>5402003</v>
      </c>
      <c r="C141" s="873" t="s">
        <v>116</v>
      </c>
      <c r="D141" s="874" t="s">
        <v>254</v>
      </c>
      <c r="E141" s="2109"/>
      <c r="F141" s="814"/>
      <c r="G141" s="800"/>
      <c r="H141" s="2119"/>
      <c r="I141" s="2082"/>
      <c r="J141" s="2082"/>
      <c r="K141" s="215"/>
      <c r="L141" s="2172"/>
      <c r="M141" s="474"/>
      <c r="N141" s="2178"/>
      <c r="O141" s="2179"/>
      <c r="P141" s="2186"/>
      <c r="Q141" s="2182"/>
      <c r="R141" s="2182"/>
      <c r="S141" s="2182"/>
      <c r="T141" s="2858"/>
      <c r="U141" s="2858"/>
      <c r="V141" s="2857"/>
      <c r="W141" s="2857"/>
      <c r="X141" s="419"/>
      <c r="Y141" s="215"/>
    </row>
    <row r="142" spans="1:25" ht="27.6">
      <c r="A142" s="224"/>
      <c r="B142" s="2087">
        <v>54020030009</v>
      </c>
      <c r="C142" s="2087" t="s">
        <v>117</v>
      </c>
      <c r="D142" s="845" t="s">
        <v>3995</v>
      </c>
      <c r="E142" s="2108"/>
      <c r="F142" s="814"/>
      <c r="G142" s="800"/>
      <c r="H142" s="814"/>
      <c r="I142" s="2112"/>
      <c r="J142" s="591"/>
      <c r="K142" s="217"/>
      <c r="L142" s="2170"/>
      <c r="M142" s="474"/>
      <c r="N142" s="2178"/>
      <c r="O142" s="2179"/>
      <c r="P142" s="2185"/>
      <c r="Q142" s="2182"/>
      <c r="R142" s="2182"/>
      <c r="S142" s="2182"/>
      <c r="T142" s="2858"/>
      <c r="U142" s="2858"/>
      <c r="V142" s="2857"/>
      <c r="W142" s="2857"/>
      <c r="X142" s="419"/>
      <c r="Y142" s="217"/>
    </row>
    <row r="143" spans="1:25" ht="14.4">
      <c r="A143" s="2926">
        <v>4161</v>
      </c>
      <c r="B143" s="2926"/>
      <c r="C143" s="2926" t="s">
        <v>123</v>
      </c>
      <c r="D143" s="3240" t="s">
        <v>3996</v>
      </c>
      <c r="E143" s="878" t="s">
        <v>3997</v>
      </c>
      <c r="F143" s="814"/>
      <c r="G143" s="800"/>
      <c r="H143" s="2119"/>
      <c r="I143" s="213"/>
      <c r="J143" s="213"/>
      <c r="K143" s="464">
        <f>SUM(K144)</f>
        <v>1</v>
      </c>
      <c r="L143" s="249">
        <f>SUM(L144:L145)</f>
        <v>1</v>
      </c>
      <c r="M143" s="474">
        <f>SUM(M144:M145)</f>
        <v>0</v>
      </c>
      <c r="N143" s="405">
        <f>SUM(N144:N145)</f>
        <v>0.3</v>
      </c>
      <c r="O143" s="3237">
        <f>+IF(Q143&gt;0,N143,"na")</f>
        <v>0.3</v>
      </c>
      <c r="P143" s="2095">
        <f>SUM(P144:P145)</f>
        <v>1012636620</v>
      </c>
      <c r="Q143" s="2095">
        <f t="shared" ref="Q143:S143" si="48">SUM(Q144:Q145)</f>
        <v>1012636620</v>
      </c>
      <c r="R143" s="2095">
        <f t="shared" si="48"/>
        <v>485856000</v>
      </c>
      <c r="S143" s="2095">
        <f t="shared" si="48"/>
        <v>253943000</v>
      </c>
      <c r="T143" s="2859">
        <f t="shared" ref="T143:U145" si="49">+IF(Q143&gt;0,R143/Q143,0)</f>
        <v>0.47979303770389026</v>
      </c>
      <c r="U143" s="2859">
        <f t="shared" si="49"/>
        <v>0.52267132648356718</v>
      </c>
      <c r="V143" s="2858"/>
      <c r="W143" s="2858"/>
      <c r="X143" s="419"/>
      <c r="Y143" s="2926" t="s">
        <v>3782</v>
      </c>
    </row>
    <row r="144" spans="1:25" ht="118.8">
      <c r="A144" s="2926"/>
      <c r="B144" s="2926"/>
      <c r="C144" s="2926"/>
      <c r="D144" s="3240"/>
      <c r="E144" s="2097" t="s">
        <v>3998</v>
      </c>
      <c r="F144" s="814"/>
      <c r="G144" s="3031" t="s">
        <v>3995</v>
      </c>
      <c r="H144" s="2100"/>
      <c r="I144" s="382" t="s">
        <v>3999</v>
      </c>
      <c r="J144" s="382" t="s">
        <v>136</v>
      </c>
      <c r="K144" s="474">
        <v>1</v>
      </c>
      <c r="L144" s="2169">
        <v>0.3</v>
      </c>
      <c r="M144" s="474">
        <v>0</v>
      </c>
      <c r="N144" s="2178">
        <v>0.09</v>
      </c>
      <c r="O144" s="3237"/>
      <c r="P144" s="2181">
        <v>495292000</v>
      </c>
      <c r="Q144" s="2181">
        <f>VLOOKUP($E:$E,[1]Hoja1!$A:$E,3,0)</f>
        <v>495292000</v>
      </c>
      <c r="R144" s="2181">
        <f>VLOOKUP($E:$E,[1]Hoja1!$A:$E,4,0)</f>
        <v>317881500</v>
      </c>
      <c r="S144" s="2181">
        <f>VLOOKUP($E:$E,[1]Hoja1!$A:$E,5,0)</f>
        <v>148319500</v>
      </c>
      <c r="T144" s="2859">
        <f t="shared" si="49"/>
        <v>0.64180624762766203</v>
      </c>
      <c r="U144" s="2859">
        <f t="shared" si="49"/>
        <v>0.46658739184255771</v>
      </c>
      <c r="V144" s="2857">
        <v>45309</v>
      </c>
      <c r="W144" s="2857">
        <v>45657</v>
      </c>
      <c r="X144" s="419" t="s">
        <v>4000</v>
      </c>
      <c r="Y144" s="2926"/>
    </row>
    <row r="145" spans="1:25" ht="145.19999999999999">
      <c r="A145" s="2926"/>
      <c r="B145" s="2926"/>
      <c r="C145" s="2926"/>
      <c r="D145" s="3240"/>
      <c r="E145" s="2097" t="s">
        <v>4001</v>
      </c>
      <c r="F145" s="814"/>
      <c r="G145" s="3031"/>
      <c r="H145" s="2100"/>
      <c r="I145" s="382" t="s">
        <v>4002</v>
      </c>
      <c r="J145" s="382" t="s">
        <v>4003</v>
      </c>
      <c r="K145" s="474">
        <v>1</v>
      </c>
      <c r="L145" s="2169">
        <v>0.7</v>
      </c>
      <c r="M145" s="474">
        <v>0</v>
      </c>
      <c r="N145" s="2178">
        <v>0.21</v>
      </c>
      <c r="O145" s="3237"/>
      <c r="P145" s="2181">
        <v>517344620</v>
      </c>
      <c r="Q145" s="2181">
        <f>VLOOKUP($E:$E,[1]Hoja1!$A:$E,3,0)</f>
        <v>517344620</v>
      </c>
      <c r="R145" s="2181">
        <f>VLOOKUP($E:$E,[1]Hoja1!$A:$E,4,0)</f>
        <v>167974500</v>
      </c>
      <c r="S145" s="2181">
        <f>VLOOKUP($E:$E,[1]Hoja1!$A:$E,5,0)</f>
        <v>105623500</v>
      </c>
      <c r="T145" s="2859">
        <f t="shared" si="49"/>
        <v>0.32468589312864604</v>
      </c>
      <c r="U145" s="2859">
        <f t="shared" si="49"/>
        <v>0.62880675340602299</v>
      </c>
      <c r="V145" s="2857">
        <v>45309</v>
      </c>
      <c r="W145" s="2857">
        <v>45657</v>
      </c>
      <c r="X145" s="419" t="s">
        <v>4004</v>
      </c>
      <c r="Y145" s="2926"/>
    </row>
    <row r="146" spans="1:25" ht="27.6">
      <c r="A146" s="224"/>
      <c r="B146" s="2087">
        <v>54020030020</v>
      </c>
      <c r="C146" s="2087" t="s">
        <v>117</v>
      </c>
      <c r="D146" s="845" t="s">
        <v>4005</v>
      </c>
      <c r="E146" s="2108"/>
      <c r="F146" s="814"/>
      <c r="G146" s="800"/>
      <c r="H146" s="814"/>
      <c r="I146" s="2112"/>
      <c r="J146" s="2112"/>
      <c r="K146" s="217"/>
      <c r="L146" s="2170"/>
      <c r="M146" s="474"/>
      <c r="N146" s="2178"/>
      <c r="O146" s="2179"/>
      <c r="P146" s="2185"/>
      <c r="Q146" s="2182"/>
      <c r="R146" s="2182"/>
      <c r="S146" s="2182"/>
      <c r="T146" s="2858"/>
      <c r="U146" s="2858"/>
      <c r="V146" s="2857"/>
      <c r="W146" s="2857"/>
      <c r="X146" s="419"/>
      <c r="Y146" s="217"/>
    </row>
    <row r="147" spans="1:25" ht="14.4">
      <c r="A147" s="2926">
        <v>4161</v>
      </c>
      <c r="B147" s="2926"/>
      <c r="C147" s="2926" t="s">
        <v>123</v>
      </c>
      <c r="D147" s="2880" t="s">
        <v>4006</v>
      </c>
      <c r="E147" s="2120" t="s">
        <v>4007</v>
      </c>
      <c r="F147" s="814"/>
      <c r="G147" s="800"/>
      <c r="H147" s="2119"/>
      <c r="I147" s="804"/>
      <c r="J147" s="804"/>
      <c r="K147" s="464">
        <f>SUM(K149)</f>
        <v>1</v>
      </c>
      <c r="L147" s="249">
        <f>SUM(L148:L149)</f>
        <v>1</v>
      </c>
      <c r="M147" s="474">
        <f>SUM(M148:M149)</f>
        <v>309</v>
      </c>
      <c r="N147" s="405">
        <f>SUM(N148:N149)</f>
        <v>8.8285714285714287E-2</v>
      </c>
      <c r="O147" s="3237">
        <f>+IF(Q147&gt;0,N147,"na")</f>
        <v>8.8285714285714287E-2</v>
      </c>
      <c r="P147" s="2181">
        <f>SUM(P148:P149)</f>
        <v>1773614025</v>
      </c>
      <c r="Q147" s="2181">
        <f t="shared" ref="Q147:S147" si="50">SUM(Q148:Q149)</f>
        <v>1773614025</v>
      </c>
      <c r="R147" s="2181">
        <f t="shared" si="50"/>
        <v>264499000</v>
      </c>
      <c r="S147" s="2181">
        <f t="shared" si="50"/>
        <v>68837000</v>
      </c>
      <c r="T147" s="2859">
        <f t="shared" ref="T147:U149" si="51">+IF(Q147&gt;0,R147/Q147,0)</f>
        <v>0.1491299664254741</v>
      </c>
      <c r="U147" s="2859">
        <f t="shared" si="51"/>
        <v>0.26025429207671863</v>
      </c>
      <c r="V147" s="2858"/>
      <c r="W147" s="2858"/>
      <c r="X147" s="419"/>
      <c r="Y147" s="3026" t="s">
        <v>3748</v>
      </c>
    </row>
    <row r="148" spans="1:25" ht="92.4">
      <c r="A148" s="2926"/>
      <c r="B148" s="2926"/>
      <c r="C148" s="2926"/>
      <c r="D148" s="2880"/>
      <c r="E148" s="2097" t="s">
        <v>4008</v>
      </c>
      <c r="F148" s="814"/>
      <c r="G148" s="2121"/>
      <c r="H148" s="2100"/>
      <c r="I148" s="804" t="s">
        <v>4009</v>
      </c>
      <c r="J148" s="804" t="s">
        <v>4010</v>
      </c>
      <c r="K148" s="474">
        <v>3500</v>
      </c>
      <c r="L148" s="2169">
        <v>0.87</v>
      </c>
      <c r="M148" s="474">
        <v>309</v>
      </c>
      <c r="N148" s="2178">
        <f>+M148/K148</f>
        <v>8.8285714285714287E-2</v>
      </c>
      <c r="O148" s="3237"/>
      <c r="P148" s="2181">
        <v>1437426049</v>
      </c>
      <c r="Q148" s="2181">
        <f>VLOOKUP($E:$E,[1]Hoja1!$A:$E,3,0)</f>
        <v>1437426049</v>
      </c>
      <c r="R148" s="2181">
        <f>VLOOKUP($E:$E,[1]Hoja1!$A:$E,4,0)</f>
        <v>264499000</v>
      </c>
      <c r="S148" s="2181">
        <f>VLOOKUP($E:$E,[1]Hoja1!$A:$E,5,0)</f>
        <v>68837000</v>
      </c>
      <c r="T148" s="2859">
        <f t="shared" si="51"/>
        <v>0.18400877052701861</v>
      </c>
      <c r="U148" s="2859">
        <f t="shared" si="51"/>
        <v>0.26025429207671863</v>
      </c>
      <c r="V148" s="2857">
        <v>45309</v>
      </c>
      <c r="W148" s="2857">
        <v>45657</v>
      </c>
      <c r="X148" s="419" t="s">
        <v>4011</v>
      </c>
      <c r="Y148" s="3026"/>
    </row>
    <row r="149" spans="1:25" ht="118.8">
      <c r="A149" s="2935"/>
      <c r="B149" s="2935"/>
      <c r="C149" s="2935"/>
      <c r="D149" s="2892"/>
      <c r="E149" s="2160" t="s">
        <v>4012</v>
      </c>
      <c r="F149" s="2161"/>
      <c r="G149" s="2162" t="s">
        <v>4005</v>
      </c>
      <c r="H149" s="2163"/>
      <c r="I149" s="2164" t="s">
        <v>4013</v>
      </c>
      <c r="J149" s="2164" t="s">
        <v>139</v>
      </c>
      <c r="K149" s="604">
        <v>1</v>
      </c>
      <c r="L149" s="2177">
        <v>0.13</v>
      </c>
      <c r="M149" s="604">
        <v>0</v>
      </c>
      <c r="N149" s="2180">
        <v>0</v>
      </c>
      <c r="O149" s="3238"/>
      <c r="P149" s="2190">
        <v>336187976</v>
      </c>
      <c r="Q149" s="2190">
        <f>VLOOKUP($E:$E,[1]Hoja1!$A:$E,3,0)</f>
        <v>336187976</v>
      </c>
      <c r="R149" s="2190">
        <v>0</v>
      </c>
      <c r="S149" s="2190">
        <v>0</v>
      </c>
      <c r="T149" s="2860">
        <f t="shared" si="51"/>
        <v>0</v>
      </c>
      <c r="U149" s="2860">
        <f t="shared" si="51"/>
        <v>0</v>
      </c>
      <c r="V149" s="2165"/>
      <c r="W149" s="2165"/>
      <c r="X149" s="2166"/>
      <c r="Y149" s="3239"/>
    </row>
    <row r="150" spans="1:25" ht="14.4">
      <c r="A150" s="2135"/>
      <c r="B150" s="2135"/>
      <c r="C150" s="2135"/>
      <c r="D150" s="427"/>
      <c r="E150" s="2134"/>
      <c r="F150" s="2133"/>
      <c r="G150" s="2126"/>
      <c r="H150" s="2133"/>
      <c r="I150" s="2127"/>
      <c r="J150" s="2132"/>
      <c r="K150" s="2125"/>
      <c r="L150" s="2130"/>
      <c r="M150" s="2122"/>
      <c r="N150" s="2123"/>
      <c r="O150" s="2124"/>
      <c r="P150" s="2128"/>
      <c r="Q150" s="2131"/>
      <c r="R150" s="2131"/>
      <c r="S150" s="2131"/>
      <c r="T150" s="2131"/>
      <c r="U150" s="2131"/>
      <c r="V150" s="2129"/>
      <c r="W150" s="2129"/>
      <c r="X150" s="433"/>
      <c r="Y150" s="2122"/>
    </row>
    <row r="151" spans="1:25">
      <c r="A151" s="45"/>
      <c r="B151" s="47" t="s">
        <v>50</v>
      </c>
      <c r="C151" s="45">
        <f>COUNTIF(C7:C149,"pr")</f>
        <v>40</v>
      </c>
      <c r="D151" s="45"/>
      <c r="E151" s="47" t="s">
        <v>126</v>
      </c>
      <c r="F151" s="47"/>
      <c r="G151" s="2136">
        <f>COUNTIF(O11:O149,"na")</f>
        <v>0</v>
      </c>
      <c r="H151" s="45"/>
      <c r="I151" s="47"/>
      <c r="J151" s="45"/>
      <c r="K151" s="45"/>
      <c r="L151" s="45"/>
      <c r="M151" s="2137"/>
      <c r="N151" s="2138" t="s">
        <v>127</v>
      </c>
      <c r="O151" s="208">
        <f>AVERAGE(O11:O149)</f>
        <v>0.10524347187465999</v>
      </c>
      <c r="P151" s="2139">
        <f>SUMIFS(P$2:P$149,$C$2:$C$149,"PR")</f>
        <v>92136683597</v>
      </c>
      <c r="Q151" s="2139">
        <f t="shared" ref="Q151:S151" si="52">SUMIFS(Q$2:Q$149,$C$2:$C$149,"PR")</f>
        <v>92136683597</v>
      </c>
      <c r="R151" s="2139">
        <f t="shared" si="52"/>
        <v>8843342177</v>
      </c>
      <c r="S151" s="2139">
        <f t="shared" si="52"/>
        <v>2455360736</v>
      </c>
      <c r="T151" s="2140">
        <f>+R151/Q151</f>
        <v>9.5980686863879505E-2</v>
      </c>
      <c r="U151" s="2140">
        <f>+S151/R151</f>
        <v>0.27765076674133088</v>
      </c>
      <c r="V151" s="2141"/>
      <c r="W151" s="2141"/>
      <c r="X151" s="2142"/>
      <c r="Y151" s="2141"/>
    </row>
    <row r="152" spans="1:25">
      <c r="A152" s="47"/>
      <c r="B152" s="45"/>
      <c r="C152" s="45"/>
      <c r="D152" s="47"/>
      <c r="E152" s="47"/>
      <c r="F152" s="45"/>
      <c r="G152" s="2143"/>
      <c r="H152" s="45"/>
      <c r="I152" s="2143"/>
      <c r="J152" s="2143"/>
      <c r="K152" s="2144"/>
      <c r="L152" s="2144"/>
      <c r="M152" s="2137"/>
      <c r="N152" s="2138" t="s">
        <v>133</v>
      </c>
      <c r="O152" s="517">
        <f>COUNTIF(O11:O149,"=0%")</f>
        <v>24</v>
      </c>
      <c r="P152" s="2145">
        <v>92136683597</v>
      </c>
      <c r="Q152" s="2145">
        <v>92136683597</v>
      </c>
      <c r="R152" s="2145">
        <v>8843342177</v>
      </c>
      <c r="S152" s="2145">
        <v>2455360736</v>
      </c>
      <c r="T152" s="2140"/>
      <c r="U152" s="2140"/>
      <c r="V152" s="2141"/>
      <c r="W152" s="2141"/>
      <c r="X152" s="2142"/>
      <c r="Y152" s="2141"/>
    </row>
  </sheetData>
  <autoFilter ref="A5:Y149" xr:uid="{00000000-0009-0000-0000-000013000000}"/>
  <mergeCells count="275">
    <mergeCell ref="A1:X1"/>
    <mergeCell ref="I5:I6"/>
    <mergeCell ref="J5:J6"/>
    <mergeCell ref="D5:D6"/>
    <mergeCell ref="P5:P6"/>
    <mergeCell ref="W5:W6"/>
    <mergeCell ref="A3:B3"/>
    <mergeCell ref="V3:W3"/>
    <mergeCell ref="E5:E6"/>
    <mergeCell ref="C3:R3"/>
    <mergeCell ref="M5:M6"/>
    <mergeCell ref="V5:V6"/>
    <mergeCell ref="G5:G6"/>
    <mergeCell ref="H5:H6"/>
    <mergeCell ref="S3:U3"/>
    <mergeCell ref="F5:F6"/>
    <mergeCell ref="L5:L6"/>
    <mergeCell ref="N5:N6"/>
    <mergeCell ref="O5:O6"/>
    <mergeCell ref="K5:K6"/>
    <mergeCell ref="A2:Y2"/>
    <mergeCell ref="S5:S6"/>
    <mergeCell ref="B5:B6"/>
    <mergeCell ref="C5:C6"/>
    <mergeCell ref="Y11:Y12"/>
    <mergeCell ref="Q5:Q6"/>
    <mergeCell ref="R5:R6"/>
    <mergeCell ref="A4:Y4"/>
    <mergeCell ref="Y5:Y6"/>
    <mergeCell ref="T5:T6"/>
    <mergeCell ref="A5:A6"/>
    <mergeCell ref="X5:X6"/>
    <mergeCell ref="U5:U6"/>
    <mergeCell ref="A14:A15"/>
    <mergeCell ref="B14:B15"/>
    <mergeCell ref="C14:C15"/>
    <mergeCell ref="D14:D15"/>
    <mergeCell ref="O14:O15"/>
    <mergeCell ref="Y14:Y15"/>
    <mergeCell ref="A11:A12"/>
    <mergeCell ref="B11:B12"/>
    <mergeCell ref="C11:C12"/>
    <mergeCell ref="D11:D12"/>
    <mergeCell ref="O11:O12"/>
    <mergeCell ref="Y17:Y18"/>
    <mergeCell ref="A23:A24"/>
    <mergeCell ref="B23:B24"/>
    <mergeCell ref="C23:C24"/>
    <mergeCell ref="D23:D24"/>
    <mergeCell ref="O23:O24"/>
    <mergeCell ref="Y23:Y24"/>
    <mergeCell ref="A17:A18"/>
    <mergeCell ref="B17:B18"/>
    <mergeCell ref="C17:C18"/>
    <mergeCell ref="D17:D18"/>
    <mergeCell ref="O17:O18"/>
    <mergeCell ref="Y26:Y27"/>
    <mergeCell ref="A30:A32"/>
    <mergeCell ref="B30:B32"/>
    <mergeCell ref="C30:C32"/>
    <mergeCell ref="D30:D32"/>
    <mergeCell ref="O30:O32"/>
    <mergeCell ref="Y30:Y32"/>
    <mergeCell ref="A26:A27"/>
    <mergeCell ref="B26:B27"/>
    <mergeCell ref="C26:C27"/>
    <mergeCell ref="D26:D27"/>
    <mergeCell ref="O26:O27"/>
    <mergeCell ref="Y34:Y35"/>
    <mergeCell ref="A37:A38"/>
    <mergeCell ref="B37:B38"/>
    <mergeCell ref="C37:C38"/>
    <mergeCell ref="D37:D38"/>
    <mergeCell ref="O37:O38"/>
    <mergeCell ref="Y37:Y38"/>
    <mergeCell ref="A34:A35"/>
    <mergeCell ref="B34:B35"/>
    <mergeCell ref="C34:C35"/>
    <mergeCell ref="D34:D35"/>
    <mergeCell ref="O34:O35"/>
    <mergeCell ref="Y39:Y40"/>
    <mergeCell ref="A41:A42"/>
    <mergeCell ref="B41:B42"/>
    <mergeCell ref="C41:C42"/>
    <mergeCell ref="D41:D42"/>
    <mergeCell ref="O41:O42"/>
    <mergeCell ref="Y41:Y42"/>
    <mergeCell ref="A39:A40"/>
    <mergeCell ref="B39:B40"/>
    <mergeCell ref="C39:C40"/>
    <mergeCell ref="D39:D40"/>
    <mergeCell ref="O39:O40"/>
    <mergeCell ref="Y43:Y44"/>
    <mergeCell ref="A45:A46"/>
    <mergeCell ref="B45:B46"/>
    <mergeCell ref="C45:C46"/>
    <mergeCell ref="D45:D46"/>
    <mergeCell ref="O45:O46"/>
    <mergeCell ref="Y45:Y46"/>
    <mergeCell ref="A43:A44"/>
    <mergeCell ref="B43:B44"/>
    <mergeCell ref="C43:C44"/>
    <mergeCell ref="D43:D44"/>
    <mergeCell ref="O43:O44"/>
    <mergeCell ref="Y47:Y48"/>
    <mergeCell ref="A49:A50"/>
    <mergeCell ref="B49:B50"/>
    <mergeCell ref="C49:C50"/>
    <mergeCell ref="D49:D50"/>
    <mergeCell ref="O49:O50"/>
    <mergeCell ref="Y49:Y50"/>
    <mergeCell ref="A47:A48"/>
    <mergeCell ref="B47:B48"/>
    <mergeCell ref="C47:C48"/>
    <mergeCell ref="D47:D48"/>
    <mergeCell ref="O47:O48"/>
    <mergeCell ref="Y52:Y53"/>
    <mergeCell ref="A54:A55"/>
    <mergeCell ref="B54:B55"/>
    <mergeCell ref="C54:C55"/>
    <mergeCell ref="D54:D55"/>
    <mergeCell ref="O54:O55"/>
    <mergeCell ref="Y54:Y55"/>
    <mergeCell ref="A52:A53"/>
    <mergeCell ref="B52:B53"/>
    <mergeCell ref="C52:C53"/>
    <mergeCell ref="D52:D53"/>
    <mergeCell ref="O52:O53"/>
    <mergeCell ref="Y57:Y58"/>
    <mergeCell ref="A60:A61"/>
    <mergeCell ref="B60:B61"/>
    <mergeCell ref="C60:C61"/>
    <mergeCell ref="D60:D61"/>
    <mergeCell ref="O60:O61"/>
    <mergeCell ref="Y60:Y61"/>
    <mergeCell ref="A57:A58"/>
    <mergeCell ref="B57:B58"/>
    <mergeCell ref="C57:C58"/>
    <mergeCell ref="D57:D58"/>
    <mergeCell ref="O57:O58"/>
    <mergeCell ref="Y62:Y64"/>
    <mergeCell ref="A65:A66"/>
    <mergeCell ref="B65:B66"/>
    <mergeCell ref="C65:C66"/>
    <mergeCell ref="D65:D66"/>
    <mergeCell ref="O65:O66"/>
    <mergeCell ref="Y65:Y66"/>
    <mergeCell ref="A62:A64"/>
    <mergeCell ref="B62:B64"/>
    <mergeCell ref="C62:C64"/>
    <mergeCell ref="D62:D64"/>
    <mergeCell ref="O62:O64"/>
    <mergeCell ref="Y68:Y70"/>
    <mergeCell ref="A73:A74"/>
    <mergeCell ref="B73:B74"/>
    <mergeCell ref="C73:C74"/>
    <mergeCell ref="D73:D74"/>
    <mergeCell ref="O73:O74"/>
    <mergeCell ref="Y73:Y74"/>
    <mergeCell ref="A68:A70"/>
    <mergeCell ref="B68:B70"/>
    <mergeCell ref="C68:C70"/>
    <mergeCell ref="D68:D70"/>
    <mergeCell ref="O68:O70"/>
    <mergeCell ref="Y76:Y77"/>
    <mergeCell ref="A79:A80"/>
    <mergeCell ref="B79:B80"/>
    <mergeCell ref="C79:C80"/>
    <mergeCell ref="D79:D80"/>
    <mergeCell ref="O79:O80"/>
    <mergeCell ref="Y79:Y80"/>
    <mergeCell ref="A76:A77"/>
    <mergeCell ref="B76:B77"/>
    <mergeCell ref="C76:C77"/>
    <mergeCell ref="D76:D77"/>
    <mergeCell ref="O76:O77"/>
    <mergeCell ref="Y82:Y83"/>
    <mergeCell ref="A86:A87"/>
    <mergeCell ref="B86:B87"/>
    <mergeCell ref="C86:C87"/>
    <mergeCell ref="D86:D87"/>
    <mergeCell ref="O86:O87"/>
    <mergeCell ref="Y86:Y87"/>
    <mergeCell ref="A82:A83"/>
    <mergeCell ref="B82:B83"/>
    <mergeCell ref="C82:C83"/>
    <mergeCell ref="D82:D83"/>
    <mergeCell ref="O82:O83"/>
    <mergeCell ref="Y91:Y93"/>
    <mergeCell ref="A94:A95"/>
    <mergeCell ref="B94:B95"/>
    <mergeCell ref="C94:C95"/>
    <mergeCell ref="D94:D95"/>
    <mergeCell ref="O94:O95"/>
    <mergeCell ref="Y94:Y95"/>
    <mergeCell ref="A91:A93"/>
    <mergeCell ref="B91:B93"/>
    <mergeCell ref="C91:C93"/>
    <mergeCell ref="D91:D93"/>
    <mergeCell ref="O91:O93"/>
    <mergeCell ref="Y96:Y98"/>
    <mergeCell ref="A99:A100"/>
    <mergeCell ref="B99:B100"/>
    <mergeCell ref="C99:C100"/>
    <mergeCell ref="D99:D100"/>
    <mergeCell ref="O99:O100"/>
    <mergeCell ref="Y99:Y100"/>
    <mergeCell ref="A96:A98"/>
    <mergeCell ref="B96:B98"/>
    <mergeCell ref="C96:C98"/>
    <mergeCell ref="D96:D98"/>
    <mergeCell ref="O96:O98"/>
    <mergeCell ref="Y103:Y105"/>
    <mergeCell ref="F104:F105"/>
    <mergeCell ref="H104:H105"/>
    <mergeCell ref="A109:A111"/>
    <mergeCell ref="B109:B111"/>
    <mergeCell ref="C109:C111"/>
    <mergeCell ref="D109:D111"/>
    <mergeCell ref="O109:O111"/>
    <mergeCell ref="Y109:Y111"/>
    <mergeCell ref="A103:A105"/>
    <mergeCell ref="B103:B105"/>
    <mergeCell ref="C103:C105"/>
    <mergeCell ref="D103:D105"/>
    <mergeCell ref="O103:O105"/>
    <mergeCell ref="Y112:Y114"/>
    <mergeCell ref="A116:A117"/>
    <mergeCell ref="B116:B117"/>
    <mergeCell ref="C116:C117"/>
    <mergeCell ref="D116:D117"/>
    <mergeCell ref="O116:O117"/>
    <mergeCell ref="Y116:Y117"/>
    <mergeCell ref="A112:A114"/>
    <mergeCell ref="B112:B114"/>
    <mergeCell ref="C112:C114"/>
    <mergeCell ref="D112:D114"/>
    <mergeCell ref="O112:O114"/>
    <mergeCell ref="Y122:Y123"/>
    <mergeCell ref="A127:A128"/>
    <mergeCell ref="B127:B128"/>
    <mergeCell ref="C127:C128"/>
    <mergeCell ref="D127:D128"/>
    <mergeCell ref="O127:O128"/>
    <mergeCell ref="Y127:Y128"/>
    <mergeCell ref="A122:A123"/>
    <mergeCell ref="B122:B123"/>
    <mergeCell ref="C122:C123"/>
    <mergeCell ref="D122:D123"/>
    <mergeCell ref="O122:O123"/>
    <mergeCell ref="Y133:Y135"/>
    <mergeCell ref="A138:A140"/>
    <mergeCell ref="B138:B140"/>
    <mergeCell ref="C138:C140"/>
    <mergeCell ref="D138:D140"/>
    <mergeCell ref="O138:O140"/>
    <mergeCell ref="Y138:Y140"/>
    <mergeCell ref="A133:A135"/>
    <mergeCell ref="B133:B135"/>
    <mergeCell ref="C133:C135"/>
    <mergeCell ref="D133:D135"/>
    <mergeCell ref="O133:O135"/>
    <mergeCell ref="Y143:Y145"/>
    <mergeCell ref="G144:G145"/>
    <mergeCell ref="A147:A149"/>
    <mergeCell ref="B147:B149"/>
    <mergeCell ref="C147:C149"/>
    <mergeCell ref="D147:D149"/>
    <mergeCell ref="O147:O149"/>
    <mergeCell ref="Y147:Y149"/>
    <mergeCell ref="A143:A145"/>
    <mergeCell ref="B143:B145"/>
    <mergeCell ref="C143:C145"/>
    <mergeCell ref="D143:D145"/>
    <mergeCell ref="O143:O14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79</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872"/>
      <c r="B4" s="2873"/>
      <c r="C4" s="2873"/>
      <c r="D4" s="2873"/>
      <c r="E4" s="2873"/>
      <c r="F4" s="2873"/>
      <c r="G4" s="2873"/>
      <c r="H4" s="2873"/>
      <c r="I4" s="2873"/>
      <c r="J4" s="2873"/>
      <c r="K4" s="2873"/>
      <c r="L4" s="2873"/>
      <c r="M4" s="2873"/>
      <c r="N4" s="2873"/>
      <c r="O4" s="2873"/>
      <c r="P4" s="2873"/>
      <c r="Q4" s="2873"/>
      <c r="R4" s="2873"/>
      <c r="S4" s="2873"/>
      <c r="T4" s="2873"/>
      <c r="U4" s="2873"/>
      <c r="V4" s="2873"/>
      <c r="W4" s="2873"/>
      <c r="X4" s="2873"/>
      <c r="Y4" s="2874"/>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869"/>
      <c r="B6" s="2869"/>
      <c r="C6" s="2869"/>
      <c r="D6" s="2869"/>
      <c r="E6" s="2869"/>
      <c r="F6" s="2869"/>
      <c r="G6" s="2869"/>
      <c r="H6" s="2869"/>
      <c r="I6" s="2869"/>
      <c r="J6" s="2869"/>
      <c r="K6" s="2869"/>
      <c r="L6" s="2869"/>
      <c r="M6" s="2867"/>
      <c r="N6" s="2868"/>
      <c r="O6" s="2868"/>
      <c r="P6" s="2871"/>
      <c r="Q6" s="2868"/>
      <c r="R6" s="2868"/>
      <c r="S6" s="2868"/>
      <c r="T6" s="2868"/>
      <c r="U6" s="2868"/>
      <c r="V6" s="2871"/>
      <c r="W6" s="2871"/>
      <c r="X6" s="2868"/>
      <c r="Y6" s="2867"/>
    </row>
    <row r="7" spans="1:25" ht="15.6">
      <c r="A7" s="438"/>
      <c r="B7" s="439">
        <v>54</v>
      </c>
      <c r="C7" s="439" t="s">
        <v>114</v>
      </c>
      <c r="D7" s="440" t="s">
        <v>499</v>
      </c>
      <c r="E7" s="441"/>
      <c r="F7" s="442"/>
      <c r="G7" s="442"/>
      <c r="H7" s="442"/>
      <c r="I7" s="442"/>
      <c r="J7" s="442"/>
      <c r="K7" s="443"/>
      <c r="L7" s="442"/>
      <c r="M7" s="444"/>
      <c r="N7" s="441"/>
      <c r="O7" s="441"/>
      <c r="P7" s="442"/>
      <c r="Q7" s="442"/>
      <c r="R7" s="442"/>
      <c r="S7" s="442"/>
      <c r="T7" s="442"/>
      <c r="U7" s="442"/>
      <c r="V7" s="442"/>
      <c r="W7" s="442"/>
      <c r="X7" s="445"/>
      <c r="Y7" s="446"/>
    </row>
    <row r="8" spans="1:25" ht="15.6">
      <c r="A8" s="447"/>
      <c r="B8" s="448">
        <v>5401</v>
      </c>
      <c r="C8" s="448" t="s">
        <v>115</v>
      </c>
      <c r="D8" s="449" t="s">
        <v>134</v>
      </c>
      <c r="E8" s="450"/>
      <c r="F8" s="447"/>
      <c r="G8" s="447"/>
      <c r="H8" s="447"/>
      <c r="I8" s="447"/>
      <c r="J8" s="447"/>
      <c r="K8" s="375"/>
      <c r="L8" s="447"/>
      <c r="M8" s="451"/>
      <c r="N8" s="450"/>
      <c r="O8" s="450"/>
      <c r="P8" s="447"/>
      <c r="Q8" s="447"/>
      <c r="R8" s="447"/>
      <c r="S8" s="447"/>
      <c r="T8" s="452"/>
      <c r="U8" s="452"/>
      <c r="V8" s="447"/>
      <c r="W8" s="447"/>
      <c r="X8" s="453"/>
      <c r="Y8" s="454"/>
    </row>
    <row r="9" spans="1:25">
      <c r="A9" s="455"/>
      <c r="B9" s="456">
        <v>5401002</v>
      </c>
      <c r="C9" s="456" t="s">
        <v>116</v>
      </c>
      <c r="D9" s="457" t="s">
        <v>500</v>
      </c>
      <c r="E9" s="450"/>
      <c r="F9" s="450"/>
      <c r="G9" s="450"/>
      <c r="H9" s="450"/>
      <c r="I9" s="458"/>
      <c r="J9" s="458"/>
      <c r="K9" s="455"/>
      <c r="L9" s="455"/>
      <c r="M9" s="451"/>
      <c r="N9" s="459"/>
      <c r="O9" s="460"/>
      <c r="P9" s="458"/>
      <c r="Q9" s="447"/>
      <c r="R9" s="447"/>
      <c r="S9" s="447"/>
      <c r="T9" s="452"/>
      <c r="U9" s="452"/>
      <c r="V9" s="447"/>
      <c r="W9" s="447"/>
      <c r="X9" s="453"/>
      <c r="Y9" s="461"/>
    </row>
    <row r="10" spans="1:25">
      <c r="A10" s="455"/>
      <c r="B10" s="462">
        <v>54010020001</v>
      </c>
      <c r="C10" s="462" t="s">
        <v>117</v>
      </c>
      <c r="D10" s="458" t="s">
        <v>501</v>
      </c>
      <c r="E10" s="450"/>
      <c r="F10" s="455"/>
      <c r="G10" s="450"/>
      <c r="H10" s="375"/>
      <c r="I10" s="458"/>
      <c r="J10" s="458"/>
      <c r="K10" s="455"/>
      <c r="L10" s="455"/>
      <c r="M10" s="451"/>
      <c r="N10" s="460"/>
      <c r="O10" s="460"/>
      <c r="P10" s="458"/>
      <c r="Q10" s="447"/>
      <c r="R10" s="452"/>
      <c r="S10" s="447"/>
      <c r="T10" s="452"/>
      <c r="U10" s="452"/>
      <c r="V10" s="447"/>
      <c r="W10" s="447"/>
      <c r="X10" s="453"/>
      <c r="Y10" s="463"/>
    </row>
    <row r="11" spans="1:25">
      <c r="A11" s="2878">
        <v>4112</v>
      </c>
      <c r="B11" s="2879"/>
      <c r="C11" s="2879" t="s">
        <v>502</v>
      </c>
      <c r="D11" s="2880" t="s">
        <v>503</v>
      </c>
      <c r="E11" s="382" t="s">
        <v>504</v>
      </c>
      <c r="F11" s="393"/>
      <c r="G11" s="465"/>
      <c r="H11" s="466"/>
      <c r="I11" s="465"/>
      <c r="J11" s="465"/>
      <c r="K11" s="465"/>
      <c r="L11" s="384">
        <f>SUM(L12:L12)</f>
        <v>1</v>
      </c>
      <c r="M11" s="467"/>
      <c r="N11" s="468">
        <f>SUM(N12)</f>
        <v>0.05</v>
      </c>
      <c r="O11" s="2881">
        <f>IF(Q11&gt;0, N11,"na")</f>
        <v>0.05</v>
      </c>
      <c r="P11" s="383">
        <f>SUM(P12)</f>
        <v>700000000</v>
      </c>
      <c r="Q11" s="469">
        <f>SUM(Q12)</f>
        <v>700000000</v>
      </c>
      <c r="R11" s="469">
        <f>SUM(R12)</f>
        <v>32464000</v>
      </c>
      <c r="S11" s="469">
        <f>SUM(S12)</f>
        <v>0</v>
      </c>
      <c r="T11" s="384">
        <f>IF(Q11=0,0,R11/Q11)</f>
        <v>4.637714285714286E-2</v>
      </c>
      <c r="U11" s="384">
        <f>IF(R11=0,0,S11/R11)</f>
        <v>0</v>
      </c>
      <c r="V11" s="470"/>
      <c r="W11" s="470"/>
      <c r="X11" s="471"/>
      <c r="Y11" s="472"/>
    </row>
    <row r="12" spans="1:25" ht="290.39999999999998">
      <c r="A12" s="2878"/>
      <c r="B12" s="2879"/>
      <c r="C12" s="2879"/>
      <c r="D12" s="2880"/>
      <c r="E12" s="473" t="s">
        <v>505</v>
      </c>
      <c r="F12" s="393"/>
      <c r="G12" s="464" t="s">
        <v>501</v>
      </c>
      <c r="H12" s="393"/>
      <c r="I12" s="474" t="s">
        <v>506</v>
      </c>
      <c r="J12" s="464" t="s">
        <v>507</v>
      </c>
      <c r="K12" s="465">
        <v>1</v>
      </c>
      <c r="L12" s="384">
        <v>1</v>
      </c>
      <c r="M12" s="467">
        <v>0</v>
      </c>
      <c r="N12" s="468">
        <v>0.05</v>
      </c>
      <c r="O12" s="2881"/>
      <c r="P12" s="383">
        <v>700000000</v>
      </c>
      <c r="Q12" s="383">
        <v>700000000</v>
      </c>
      <c r="R12" s="383">
        <v>32464000</v>
      </c>
      <c r="S12" s="383">
        <v>0</v>
      </c>
      <c r="T12" s="384">
        <f>IF(Q12=0,0,R12/Q12)</f>
        <v>4.637714285714286E-2</v>
      </c>
      <c r="U12" s="384">
        <f>IF(R12=0,0,S12/R12)</f>
        <v>0</v>
      </c>
      <c r="V12" s="470">
        <v>45373</v>
      </c>
      <c r="W12" s="470">
        <v>45657</v>
      </c>
      <c r="X12" s="475" t="s">
        <v>508</v>
      </c>
      <c r="Y12" s="476" t="s">
        <v>509</v>
      </c>
    </row>
    <row r="13" spans="1:25" ht="15.6">
      <c r="A13" s="447"/>
      <c r="B13" s="477">
        <v>5402</v>
      </c>
      <c r="C13" s="477" t="s">
        <v>115</v>
      </c>
      <c r="D13" s="449" t="s">
        <v>118</v>
      </c>
      <c r="E13" s="374"/>
      <c r="F13" s="375"/>
      <c r="G13" s="447"/>
      <c r="H13" s="447"/>
      <c r="I13" s="447"/>
      <c r="J13" s="447"/>
      <c r="K13" s="447"/>
      <c r="L13" s="452"/>
      <c r="M13" s="378"/>
      <c r="N13" s="452"/>
      <c r="O13" s="452"/>
      <c r="P13" s="378"/>
      <c r="Q13" s="378"/>
      <c r="R13" s="378"/>
      <c r="S13" s="378"/>
      <c r="T13" s="452"/>
      <c r="U13" s="452"/>
      <c r="V13" s="478"/>
      <c r="W13" s="478"/>
      <c r="X13" s="479"/>
      <c r="Y13" s="454"/>
    </row>
    <row r="14" spans="1:25">
      <c r="A14" s="447"/>
      <c r="B14" s="480">
        <v>5402001</v>
      </c>
      <c r="C14" s="480" t="s">
        <v>116</v>
      </c>
      <c r="D14" s="457" t="s">
        <v>119</v>
      </c>
      <c r="E14" s="374"/>
      <c r="F14" s="375"/>
      <c r="G14" s="447"/>
      <c r="H14" s="447"/>
      <c r="I14" s="447"/>
      <c r="J14" s="447"/>
      <c r="K14" s="447"/>
      <c r="L14" s="452"/>
      <c r="M14" s="378"/>
      <c r="N14" s="452"/>
      <c r="O14" s="452"/>
      <c r="P14" s="378"/>
      <c r="Q14" s="378"/>
      <c r="R14" s="378"/>
      <c r="S14" s="378"/>
      <c r="T14" s="452"/>
      <c r="U14" s="452"/>
      <c r="V14" s="478"/>
      <c r="W14" s="478"/>
      <c r="X14" s="481"/>
      <c r="Y14" s="461"/>
    </row>
    <row r="15" spans="1:25">
      <c r="A15" s="447"/>
      <c r="B15" s="482">
        <v>54020010002</v>
      </c>
      <c r="C15" s="482" t="s">
        <v>117</v>
      </c>
      <c r="D15" s="458" t="s">
        <v>510</v>
      </c>
      <c r="E15" s="374"/>
      <c r="F15" s="483"/>
      <c r="G15" s="447"/>
      <c r="H15" s="375"/>
      <c r="I15" s="465"/>
      <c r="J15" s="447"/>
      <c r="K15" s="447"/>
      <c r="L15" s="452"/>
      <c r="M15" s="447"/>
      <c r="N15" s="452"/>
      <c r="O15" s="452"/>
      <c r="P15" s="378"/>
      <c r="Q15" s="378"/>
      <c r="R15" s="378"/>
      <c r="S15" s="378"/>
      <c r="T15" s="452"/>
      <c r="U15" s="452"/>
      <c r="V15" s="478"/>
      <c r="W15" s="478"/>
      <c r="X15" s="481"/>
      <c r="Y15" s="484"/>
    </row>
    <row r="16" spans="1:25">
      <c r="A16" s="2878">
        <v>4112</v>
      </c>
      <c r="B16" s="2884"/>
      <c r="C16" s="2884" t="s">
        <v>502</v>
      </c>
      <c r="D16" s="2880" t="s">
        <v>511</v>
      </c>
      <c r="E16" s="473" t="s">
        <v>512</v>
      </c>
      <c r="F16" s="393"/>
      <c r="G16" s="465"/>
      <c r="H16" s="466"/>
      <c r="I16" s="465"/>
      <c r="J16" s="465"/>
      <c r="K16" s="465"/>
      <c r="L16" s="384">
        <f>SUM(L17:L18)</f>
        <v>1</v>
      </c>
      <c r="M16" s="465"/>
      <c r="N16" s="384">
        <f>SUM(N17:N18)</f>
        <v>0.1</v>
      </c>
      <c r="O16" s="2885">
        <f>IF(Q16&gt;0, N16,"na")</f>
        <v>0.1</v>
      </c>
      <c r="P16" s="469">
        <f>SUM(P17:P18)</f>
        <v>340000000</v>
      </c>
      <c r="Q16" s="469">
        <f>SUM(Q17:Q18)</f>
        <v>340000000</v>
      </c>
      <c r="R16" s="469">
        <f>SUM(R17:R18)</f>
        <v>9840000</v>
      </c>
      <c r="S16" s="469">
        <f>SUM(S17:S18)</f>
        <v>0</v>
      </c>
      <c r="T16" s="384">
        <f>IF(Q16=0,0,R16/Q16)</f>
        <v>2.8941176470588234E-2</v>
      </c>
      <c r="U16" s="384">
        <f>IF(R16=0,0,S16/R16)</f>
        <v>0</v>
      </c>
      <c r="V16" s="470"/>
      <c r="W16" s="470"/>
      <c r="X16" s="481"/>
      <c r="Y16" s="476"/>
    </row>
    <row r="17" spans="1:25" ht="290.39999999999998">
      <c r="A17" s="2878"/>
      <c r="B17" s="2884"/>
      <c r="C17" s="2884"/>
      <c r="D17" s="2880"/>
      <c r="E17" s="473" t="s">
        <v>513</v>
      </c>
      <c r="F17" s="393"/>
      <c r="G17" s="465"/>
      <c r="H17" s="465"/>
      <c r="I17" s="464" t="s">
        <v>514</v>
      </c>
      <c r="J17" s="464" t="s">
        <v>515</v>
      </c>
      <c r="K17" s="465">
        <v>1</v>
      </c>
      <c r="L17" s="384">
        <v>0.3</v>
      </c>
      <c r="M17" s="465">
        <v>0</v>
      </c>
      <c r="N17" s="486">
        <v>0.1</v>
      </c>
      <c r="O17" s="2885"/>
      <c r="P17" s="469">
        <v>165000000</v>
      </c>
      <c r="Q17" s="383">
        <v>165000000</v>
      </c>
      <c r="R17" s="383">
        <v>9840000</v>
      </c>
      <c r="S17" s="383">
        <v>0</v>
      </c>
      <c r="T17" s="384">
        <f t="shared" ref="T17:U18" si="0">IF(Q17=0,0,R17/Q17)</f>
        <v>5.9636363636363633E-2</v>
      </c>
      <c r="U17" s="384">
        <f t="shared" si="0"/>
        <v>0</v>
      </c>
      <c r="V17" s="470">
        <v>45348</v>
      </c>
      <c r="W17" s="470">
        <v>45657</v>
      </c>
      <c r="X17" s="475" t="s">
        <v>516</v>
      </c>
      <c r="Y17" s="2882" t="s">
        <v>509</v>
      </c>
    </row>
    <row r="18" spans="1:25" ht="52.8">
      <c r="A18" s="2878"/>
      <c r="B18" s="2884"/>
      <c r="C18" s="2884"/>
      <c r="D18" s="2880"/>
      <c r="E18" s="473" t="s">
        <v>517</v>
      </c>
      <c r="F18" s="393"/>
      <c r="G18" s="464" t="s">
        <v>510</v>
      </c>
      <c r="H18" s="393"/>
      <c r="I18" s="464" t="s">
        <v>518</v>
      </c>
      <c r="J18" s="464" t="s">
        <v>136</v>
      </c>
      <c r="K18" s="465">
        <v>3</v>
      </c>
      <c r="L18" s="384">
        <v>0.7</v>
      </c>
      <c r="M18" s="465">
        <v>0</v>
      </c>
      <c r="N18" s="486">
        <v>0</v>
      </c>
      <c r="O18" s="2885"/>
      <c r="P18" s="469">
        <v>175000000</v>
      </c>
      <c r="Q18" s="383">
        <v>175000000</v>
      </c>
      <c r="R18" s="383">
        <v>0</v>
      </c>
      <c r="S18" s="383">
        <v>0</v>
      </c>
      <c r="T18" s="384">
        <f t="shared" si="0"/>
        <v>0</v>
      </c>
      <c r="U18" s="384">
        <f t="shared" si="0"/>
        <v>0</v>
      </c>
      <c r="V18" s="470"/>
      <c r="W18" s="470"/>
      <c r="X18" s="475"/>
      <c r="Y18" s="2883"/>
    </row>
    <row r="19" spans="1:25" ht="27.6">
      <c r="A19" s="447"/>
      <c r="B19" s="482">
        <v>54020010003</v>
      </c>
      <c r="C19" s="482" t="s">
        <v>117</v>
      </c>
      <c r="D19" s="458" t="s">
        <v>519</v>
      </c>
      <c r="E19" s="374"/>
      <c r="F19" s="483"/>
      <c r="G19" s="447"/>
      <c r="H19" s="375"/>
      <c r="I19" s="465"/>
      <c r="J19" s="447"/>
      <c r="K19" s="447"/>
      <c r="L19" s="452"/>
      <c r="M19" s="447"/>
      <c r="N19" s="452"/>
      <c r="O19" s="452"/>
      <c r="P19" s="378"/>
      <c r="Q19" s="378"/>
      <c r="R19" s="378"/>
      <c r="S19" s="378"/>
      <c r="T19" s="452"/>
      <c r="U19" s="452"/>
      <c r="V19" s="478"/>
      <c r="W19" s="478"/>
      <c r="X19" s="481"/>
      <c r="Y19" s="484"/>
    </row>
    <row r="20" spans="1:25">
      <c r="A20" s="2878">
        <v>4112</v>
      </c>
      <c r="B20" s="2884"/>
      <c r="C20" s="2884" t="s">
        <v>502</v>
      </c>
      <c r="D20" s="2880" t="s">
        <v>520</v>
      </c>
      <c r="E20" s="473" t="s">
        <v>521</v>
      </c>
      <c r="F20" s="393"/>
      <c r="G20" s="465"/>
      <c r="H20" s="466"/>
      <c r="I20" s="465"/>
      <c r="J20" s="465"/>
      <c r="K20" s="465"/>
      <c r="L20" s="384">
        <f>SUM(L21:L22)</f>
        <v>1</v>
      </c>
      <c r="M20" s="465"/>
      <c r="N20" s="384">
        <f>SUM(N21:N22)</f>
        <v>0.3</v>
      </c>
      <c r="O20" s="2885">
        <f>IF(Q20&gt;0, N20,"na")</f>
        <v>0.3</v>
      </c>
      <c r="P20" s="383">
        <f>SUM(P21:P22)</f>
        <v>300000000</v>
      </c>
      <c r="Q20" s="383">
        <f>SUM(Q21:Q22)</f>
        <v>300000000</v>
      </c>
      <c r="R20" s="383">
        <f>SUM(R21:R22)</f>
        <v>48696000</v>
      </c>
      <c r="S20" s="383">
        <f>SUM(S21:S22)</f>
        <v>16232000</v>
      </c>
      <c r="T20" s="384">
        <f t="shared" ref="T20:U22" si="1">IF(Q20=0,0,R20/Q20)</f>
        <v>0.16231999999999999</v>
      </c>
      <c r="U20" s="384">
        <f t="shared" si="1"/>
        <v>0.33333333333333331</v>
      </c>
      <c r="V20" s="470"/>
      <c r="W20" s="470"/>
      <c r="X20" s="481"/>
      <c r="Y20" s="476"/>
    </row>
    <row r="21" spans="1:25" ht="316.8">
      <c r="A21" s="2878"/>
      <c r="B21" s="2884"/>
      <c r="C21" s="2884"/>
      <c r="D21" s="2880"/>
      <c r="E21" s="473" t="s">
        <v>522</v>
      </c>
      <c r="F21" s="393"/>
      <c r="G21" s="465"/>
      <c r="H21" s="465"/>
      <c r="I21" s="464" t="s">
        <v>523</v>
      </c>
      <c r="J21" s="464" t="s">
        <v>135</v>
      </c>
      <c r="K21" s="465">
        <v>5</v>
      </c>
      <c r="L21" s="384">
        <v>0.3</v>
      </c>
      <c r="M21" s="465">
        <v>0</v>
      </c>
      <c r="N21" s="384">
        <v>0.3</v>
      </c>
      <c r="O21" s="2885"/>
      <c r="P21" s="383">
        <v>164986000</v>
      </c>
      <c r="Q21" s="383">
        <v>164986000</v>
      </c>
      <c r="R21" s="469">
        <v>48696000</v>
      </c>
      <c r="S21" s="469">
        <v>16232000</v>
      </c>
      <c r="T21" s="384">
        <f t="shared" si="1"/>
        <v>0.29515231595408098</v>
      </c>
      <c r="U21" s="384">
        <f t="shared" si="1"/>
        <v>0.33333333333333331</v>
      </c>
      <c r="V21" s="470">
        <v>45339</v>
      </c>
      <c r="W21" s="470">
        <v>45657</v>
      </c>
      <c r="X21" s="475" t="s">
        <v>524</v>
      </c>
      <c r="Y21" s="2882" t="s">
        <v>509</v>
      </c>
    </row>
    <row r="22" spans="1:25" ht="79.2">
      <c r="A22" s="2878"/>
      <c r="B22" s="2884"/>
      <c r="C22" s="2884"/>
      <c r="D22" s="2880"/>
      <c r="E22" s="473" t="s">
        <v>525</v>
      </c>
      <c r="F22" s="393"/>
      <c r="G22" s="464" t="s">
        <v>519</v>
      </c>
      <c r="H22" s="393"/>
      <c r="I22" s="464" t="s">
        <v>526</v>
      </c>
      <c r="J22" s="464" t="s">
        <v>136</v>
      </c>
      <c r="K22" s="465">
        <v>3</v>
      </c>
      <c r="L22" s="384">
        <v>0.7</v>
      </c>
      <c r="M22" s="465">
        <v>0</v>
      </c>
      <c r="N22" s="384">
        <v>0</v>
      </c>
      <c r="O22" s="2885"/>
      <c r="P22" s="383">
        <v>135014000</v>
      </c>
      <c r="Q22" s="383">
        <v>135014000</v>
      </c>
      <c r="R22" s="383">
        <v>0</v>
      </c>
      <c r="S22" s="383">
        <v>0</v>
      </c>
      <c r="T22" s="384">
        <f t="shared" si="1"/>
        <v>0</v>
      </c>
      <c r="U22" s="384">
        <f t="shared" si="1"/>
        <v>0</v>
      </c>
      <c r="V22" s="470"/>
      <c r="W22" s="470"/>
      <c r="X22" s="475"/>
      <c r="Y22" s="2883"/>
    </row>
    <row r="23" spans="1:25">
      <c r="A23" s="375"/>
      <c r="B23" s="487">
        <v>54020010044</v>
      </c>
      <c r="C23" s="482" t="s">
        <v>117</v>
      </c>
      <c r="D23" s="458" t="s">
        <v>527</v>
      </c>
      <c r="E23" s="374"/>
      <c r="F23" s="375"/>
      <c r="G23" s="447"/>
      <c r="H23" s="375"/>
      <c r="I23" s="465"/>
      <c r="J23" s="447"/>
      <c r="K23" s="447"/>
      <c r="L23" s="452"/>
      <c r="M23" s="447"/>
      <c r="N23" s="452"/>
      <c r="O23" s="452"/>
      <c r="P23" s="378"/>
      <c r="Q23" s="378"/>
      <c r="R23" s="378"/>
      <c r="S23" s="378"/>
      <c r="T23" s="452"/>
      <c r="U23" s="452"/>
      <c r="V23" s="478"/>
      <c r="W23" s="478"/>
      <c r="X23" s="481"/>
      <c r="Y23" s="484"/>
    </row>
    <row r="24" spans="1:25">
      <c r="A24" s="2878">
        <v>4112</v>
      </c>
      <c r="B24" s="2884"/>
      <c r="C24" s="2884" t="s">
        <v>502</v>
      </c>
      <c r="D24" s="2886" t="s">
        <v>528</v>
      </c>
      <c r="E24" s="473" t="s">
        <v>529</v>
      </c>
      <c r="F24" s="393"/>
      <c r="G24" s="465"/>
      <c r="H24" s="466"/>
      <c r="I24" s="465"/>
      <c r="J24" s="465"/>
      <c r="K24" s="465"/>
      <c r="L24" s="384">
        <f>SUM(L25:L26)</f>
        <v>1</v>
      </c>
      <c r="M24" s="465"/>
      <c r="N24" s="384">
        <f>SUM(N25:N26)</f>
        <v>0.1</v>
      </c>
      <c r="O24" s="2887">
        <f>IF(Q24&gt;0, N24,"na")</f>
        <v>0.1</v>
      </c>
      <c r="P24" s="383">
        <f>SUM(P25:P26)</f>
        <v>260000000</v>
      </c>
      <c r="Q24" s="383">
        <f>SUM(Q25:Q26)</f>
        <v>260000000</v>
      </c>
      <c r="R24" s="383">
        <f>SUM(R25:R26)</f>
        <v>15693000</v>
      </c>
      <c r="S24" s="383">
        <f>SUM(S25:S26)</f>
        <v>0</v>
      </c>
      <c r="T24" s="384">
        <f t="shared" ref="T24:U26" si="2">IF(Q24=0,0,R24/Q24)</f>
        <v>6.0357692307692307E-2</v>
      </c>
      <c r="U24" s="384">
        <f t="shared" si="2"/>
        <v>0</v>
      </c>
      <c r="V24" s="470"/>
      <c r="W24" s="470"/>
      <c r="X24" s="481"/>
      <c r="Y24" s="476"/>
    </row>
    <row r="25" spans="1:25" ht="343.2">
      <c r="A25" s="2878"/>
      <c r="B25" s="2884"/>
      <c r="C25" s="2884"/>
      <c r="D25" s="2886"/>
      <c r="E25" s="473" t="s">
        <v>530</v>
      </c>
      <c r="F25" s="393"/>
      <c r="G25" s="464" t="s">
        <v>527</v>
      </c>
      <c r="H25" s="393"/>
      <c r="I25" s="464" t="s">
        <v>531</v>
      </c>
      <c r="J25" s="464" t="s">
        <v>135</v>
      </c>
      <c r="K25" s="465">
        <v>1</v>
      </c>
      <c r="L25" s="384">
        <v>0.52</v>
      </c>
      <c r="M25" s="465">
        <v>0</v>
      </c>
      <c r="N25" s="384">
        <v>0.1</v>
      </c>
      <c r="O25" s="2887"/>
      <c r="P25" s="383">
        <v>137541000</v>
      </c>
      <c r="Q25" s="383">
        <v>137541000</v>
      </c>
      <c r="R25" s="383">
        <v>15693000</v>
      </c>
      <c r="S25" s="383">
        <v>0</v>
      </c>
      <c r="T25" s="384">
        <f t="shared" si="2"/>
        <v>0.11409688747355334</v>
      </c>
      <c r="U25" s="384">
        <f t="shared" si="2"/>
        <v>0</v>
      </c>
      <c r="V25" s="470">
        <v>45351</v>
      </c>
      <c r="W25" s="470">
        <v>45657</v>
      </c>
      <c r="X25" s="475" t="s">
        <v>532</v>
      </c>
      <c r="Y25" s="2882" t="s">
        <v>509</v>
      </c>
    </row>
    <row r="26" spans="1:25" ht="66">
      <c r="A26" s="2878"/>
      <c r="B26" s="2884"/>
      <c r="C26" s="2884"/>
      <c r="D26" s="2886"/>
      <c r="E26" s="473" t="s">
        <v>533</v>
      </c>
      <c r="F26" s="393"/>
      <c r="G26" s="465"/>
      <c r="H26" s="465"/>
      <c r="I26" s="464" t="s">
        <v>534</v>
      </c>
      <c r="J26" s="464" t="s">
        <v>138</v>
      </c>
      <c r="K26" s="465">
        <v>1</v>
      </c>
      <c r="L26" s="384">
        <v>0.48</v>
      </c>
      <c r="M26" s="465">
        <v>0</v>
      </c>
      <c r="N26" s="384">
        <v>0</v>
      </c>
      <c r="O26" s="2887"/>
      <c r="P26" s="383">
        <v>122459000</v>
      </c>
      <c r="Q26" s="469">
        <v>122459000</v>
      </c>
      <c r="R26" s="469">
        <v>0</v>
      </c>
      <c r="S26" s="469">
        <v>0</v>
      </c>
      <c r="T26" s="384">
        <f t="shared" si="2"/>
        <v>0</v>
      </c>
      <c r="U26" s="384">
        <f t="shared" si="2"/>
        <v>0</v>
      </c>
      <c r="V26" s="470"/>
      <c r="W26" s="470"/>
      <c r="X26" s="475"/>
      <c r="Y26" s="2883"/>
    </row>
    <row r="27" spans="1:25" ht="15.6">
      <c r="A27" s="375"/>
      <c r="B27" s="488">
        <v>5403</v>
      </c>
      <c r="C27" s="488" t="s">
        <v>115</v>
      </c>
      <c r="D27" s="489" t="s">
        <v>535</v>
      </c>
      <c r="E27" s="374"/>
      <c r="F27" s="375"/>
      <c r="G27" s="447"/>
      <c r="H27" s="447"/>
      <c r="I27" s="465"/>
      <c r="J27" s="447"/>
      <c r="K27" s="447"/>
      <c r="L27" s="452"/>
      <c r="M27" s="447"/>
      <c r="N27" s="452"/>
      <c r="O27" s="452"/>
      <c r="P27" s="378"/>
      <c r="Q27" s="378"/>
      <c r="R27" s="490"/>
      <c r="S27" s="378"/>
      <c r="T27" s="452"/>
      <c r="U27" s="452"/>
      <c r="V27" s="478"/>
      <c r="W27" s="478"/>
      <c r="X27" s="481"/>
      <c r="Y27" s="454"/>
    </row>
    <row r="28" spans="1:25">
      <c r="A28" s="375"/>
      <c r="B28" s="491">
        <v>5403001</v>
      </c>
      <c r="C28" s="491" t="s">
        <v>116</v>
      </c>
      <c r="D28" s="492" t="s">
        <v>536</v>
      </c>
      <c r="E28" s="374"/>
      <c r="F28" s="375"/>
      <c r="G28" s="447"/>
      <c r="H28" s="447"/>
      <c r="I28" s="465"/>
      <c r="J28" s="447"/>
      <c r="K28" s="447"/>
      <c r="L28" s="452"/>
      <c r="M28" s="447"/>
      <c r="N28" s="452"/>
      <c r="O28" s="452"/>
      <c r="P28" s="378"/>
      <c r="Q28" s="378"/>
      <c r="R28" s="378"/>
      <c r="S28" s="378"/>
      <c r="T28" s="452"/>
      <c r="U28" s="452"/>
      <c r="V28" s="478"/>
      <c r="W28" s="478"/>
      <c r="X28" s="481"/>
      <c r="Y28" s="461"/>
    </row>
    <row r="29" spans="1:25" ht="27.6">
      <c r="A29" s="375"/>
      <c r="B29" s="375">
        <v>54030010010</v>
      </c>
      <c r="C29" s="375" t="s">
        <v>117</v>
      </c>
      <c r="D29" s="458" t="s">
        <v>537</v>
      </c>
      <c r="E29" s="374"/>
      <c r="F29" s="375"/>
      <c r="G29" s="447"/>
      <c r="H29" s="375"/>
      <c r="I29" s="465"/>
      <c r="J29" s="447"/>
      <c r="K29" s="447"/>
      <c r="L29" s="452"/>
      <c r="M29" s="447"/>
      <c r="N29" s="452"/>
      <c r="O29" s="452"/>
      <c r="P29" s="378"/>
      <c r="Q29" s="378"/>
      <c r="R29" s="378"/>
      <c r="S29" s="378"/>
      <c r="T29" s="452"/>
      <c r="U29" s="452"/>
      <c r="V29" s="478"/>
      <c r="W29" s="478"/>
      <c r="X29" s="481"/>
      <c r="Y29" s="463"/>
    </row>
    <row r="30" spans="1:25">
      <c r="A30" s="2878">
        <v>4112</v>
      </c>
      <c r="B30" s="2878"/>
      <c r="C30" s="2878" t="s">
        <v>502</v>
      </c>
      <c r="D30" s="2886" t="s">
        <v>538</v>
      </c>
      <c r="E30" s="473" t="s">
        <v>539</v>
      </c>
      <c r="F30" s="393"/>
      <c r="G30" s="465"/>
      <c r="H30" s="466"/>
      <c r="I30" s="465"/>
      <c r="J30" s="465"/>
      <c r="K30" s="465"/>
      <c r="L30" s="384">
        <f>SUM(L31:L31)</f>
        <v>1</v>
      </c>
      <c r="M30" s="465"/>
      <c r="N30" s="384">
        <f>SUM(N31:N31)</f>
        <v>0</v>
      </c>
      <c r="O30" s="2885">
        <f>IF(Q30&gt;0, N30,"na")</f>
        <v>0</v>
      </c>
      <c r="P30" s="383">
        <f>SUM(P31:P31)</f>
        <v>1000000000</v>
      </c>
      <c r="Q30" s="383">
        <f>SUM(Q31:Q31)</f>
        <v>1000000000</v>
      </c>
      <c r="R30" s="383">
        <f>SUM(R31:R31)</f>
        <v>0</v>
      </c>
      <c r="S30" s="383">
        <f>SUM(S31:S31)</f>
        <v>0</v>
      </c>
      <c r="T30" s="384">
        <f>IF(Q30=0,0,R30/Q30)</f>
        <v>0</v>
      </c>
      <c r="U30" s="384">
        <f t="shared" ref="T30:U31" si="3">IF(R30=0,0,S30/R30)</f>
        <v>0</v>
      </c>
      <c r="V30" s="470"/>
      <c r="W30" s="470"/>
      <c r="X30" s="481"/>
      <c r="Y30" s="472"/>
    </row>
    <row r="31" spans="1:25" ht="92.4">
      <c r="A31" s="2878"/>
      <c r="B31" s="2878"/>
      <c r="C31" s="2878"/>
      <c r="D31" s="2886"/>
      <c r="E31" s="473" t="s">
        <v>540</v>
      </c>
      <c r="F31" s="393"/>
      <c r="G31" s="464" t="s">
        <v>537</v>
      </c>
      <c r="H31" s="393"/>
      <c r="I31" s="464" t="s">
        <v>541</v>
      </c>
      <c r="J31" s="464" t="s">
        <v>135</v>
      </c>
      <c r="K31" s="465">
        <v>10</v>
      </c>
      <c r="L31" s="384">
        <v>1</v>
      </c>
      <c r="M31" s="465">
        <v>0</v>
      </c>
      <c r="N31" s="384">
        <v>0</v>
      </c>
      <c r="O31" s="2885"/>
      <c r="P31" s="383">
        <v>1000000000</v>
      </c>
      <c r="Q31" s="383">
        <v>1000000000</v>
      </c>
      <c r="R31" s="469">
        <v>0</v>
      </c>
      <c r="S31" s="469">
        <v>0</v>
      </c>
      <c r="T31" s="384">
        <f t="shared" si="3"/>
        <v>0</v>
      </c>
      <c r="U31" s="384">
        <f t="shared" si="3"/>
        <v>0</v>
      </c>
      <c r="V31" s="470"/>
      <c r="W31" s="470"/>
      <c r="X31" s="475"/>
      <c r="Y31" s="476" t="s">
        <v>509</v>
      </c>
    </row>
    <row r="32" spans="1:25">
      <c r="A32" s="375"/>
      <c r="B32" s="375">
        <v>54030010011</v>
      </c>
      <c r="C32" s="375" t="s">
        <v>117</v>
      </c>
      <c r="D32" s="458" t="s">
        <v>542</v>
      </c>
      <c r="E32" s="374"/>
      <c r="F32" s="483"/>
      <c r="G32" s="447"/>
      <c r="H32" s="375"/>
      <c r="I32" s="465"/>
      <c r="J32" s="447"/>
      <c r="K32" s="447"/>
      <c r="L32" s="452"/>
      <c r="M32" s="447"/>
      <c r="N32" s="452"/>
      <c r="O32" s="452"/>
      <c r="P32" s="378"/>
      <c r="Q32" s="378"/>
      <c r="R32" s="378"/>
      <c r="S32" s="378"/>
      <c r="T32" s="452"/>
      <c r="U32" s="452"/>
      <c r="V32" s="478"/>
      <c r="W32" s="478"/>
      <c r="X32" s="481"/>
      <c r="Y32" s="463"/>
    </row>
    <row r="33" spans="1:25">
      <c r="A33" s="2878">
        <v>4112</v>
      </c>
      <c r="B33" s="2878"/>
      <c r="C33" s="2878" t="s">
        <v>502</v>
      </c>
      <c r="D33" s="2880" t="s">
        <v>543</v>
      </c>
      <c r="E33" s="473" t="s">
        <v>544</v>
      </c>
      <c r="F33" s="393"/>
      <c r="G33" s="465"/>
      <c r="H33" s="466"/>
      <c r="I33" s="465"/>
      <c r="J33" s="465"/>
      <c r="K33" s="465"/>
      <c r="L33" s="384">
        <f>SUM(L34:L35)</f>
        <v>1</v>
      </c>
      <c r="M33" s="465"/>
      <c r="N33" s="384">
        <f>SUM(N34:N35)</f>
        <v>0.217</v>
      </c>
      <c r="O33" s="2887">
        <f>IF(Q33&gt;0, N33,"na")</f>
        <v>0.217</v>
      </c>
      <c r="P33" s="383">
        <f>SUM(P34:P35)</f>
        <v>6000000000</v>
      </c>
      <c r="Q33" s="383">
        <f>SUM(Q34:Q35)</f>
        <v>11095976000</v>
      </c>
      <c r="R33" s="383">
        <f>SUM(R34:R35)</f>
        <v>5030356500</v>
      </c>
      <c r="S33" s="383">
        <f>SUM(S34:S35)</f>
        <v>547823500</v>
      </c>
      <c r="T33" s="384">
        <f>IF(Q33=0,0,R33/Q33)</f>
        <v>0.45334961971799509</v>
      </c>
      <c r="U33" s="384">
        <f>IF(R33=0,0,S33/R33)</f>
        <v>0.10890351409487578</v>
      </c>
      <c r="V33" s="470"/>
      <c r="W33" s="470"/>
      <c r="X33" s="481"/>
      <c r="Y33" s="472"/>
    </row>
    <row r="34" spans="1:25" ht="79.2">
      <c r="A34" s="2878"/>
      <c r="B34" s="2878"/>
      <c r="C34" s="2878"/>
      <c r="D34" s="2880"/>
      <c r="E34" s="473" t="s">
        <v>545</v>
      </c>
      <c r="F34" s="393"/>
      <c r="G34" s="464"/>
      <c r="H34" s="393"/>
      <c r="I34" s="464" t="s">
        <v>546</v>
      </c>
      <c r="J34" s="464" t="s">
        <v>121</v>
      </c>
      <c r="K34" s="465">
        <v>1</v>
      </c>
      <c r="L34" s="384">
        <v>0.5</v>
      </c>
      <c r="M34" s="465">
        <v>0</v>
      </c>
      <c r="N34" s="384">
        <v>0.126</v>
      </c>
      <c r="O34" s="2887"/>
      <c r="P34" s="383">
        <v>1625224000</v>
      </c>
      <c r="Q34" s="469">
        <v>3710814010</v>
      </c>
      <c r="R34" s="469">
        <v>798969500</v>
      </c>
      <c r="S34" s="469">
        <v>542592500</v>
      </c>
      <c r="T34" s="384">
        <f t="shared" ref="T34:U35" si="4">IF(Q34=0,0,R34/Q34)</f>
        <v>0.21530841962084757</v>
      </c>
      <c r="U34" s="384">
        <f>IF(R34=0,0,S34/R34)</f>
        <v>0.67911541053819957</v>
      </c>
      <c r="V34" s="470">
        <v>45316</v>
      </c>
      <c r="W34" s="470">
        <v>45657</v>
      </c>
      <c r="X34" s="475" t="s">
        <v>547</v>
      </c>
      <c r="Y34" s="2888" t="s">
        <v>509</v>
      </c>
    </row>
    <row r="35" spans="1:25" ht="66">
      <c r="A35" s="2878"/>
      <c r="B35" s="2878"/>
      <c r="C35" s="2878"/>
      <c r="D35" s="2880"/>
      <c r="E35" s="473" t="s">
        <v>548</v>
      </c>
      <c r="F35" s="393"/>
      <c r="G35" s="464" t="s">
        <v>542</v>
      </c>
      <c r="H35" s="393"/>
      <c r="I35" s="464" t="s">
        <v>549</v>
      </c>
      <c r="J35" s="464" t="s">
        <v>139</v>
      </c>
      <c r="K35" s="465">
        <v>1</v>
      </c>
      <c r="L35" s="384">
        <v>0.5</v>
      </c>
      <c r="M35" s="465">
        <v>0</v>
      </c>
      <c r="N35" s="384">
        <v>9.0999999999999998E-2</v>
      </c>
      <c r="O35" s="2887"/>
      <c r="P35" s="383">
        <v>4374776000</v>
      </c>
      <c r="Q35" s="469">
        <v>7385161990</v>
      </c>
      <c r="R35" s="469">
        <v>4231387000</v>
      </c>
      <c r="S35" s="469">
        <v>5231000</v>
      </c>
      <c r="T35" s="384">
        <f t="shared" si="4"/>
        <v>0.57295791287037157</v>
      </c>
      <c r="U35" s="384">
        <f t="shared" si="4"/>
        <v>1.2362376686415116E-3</v>
      </c>
      <c r="V35" s="470">
        <v>45323</v>
      </c>
      <c r="W35" s="470">
        <v>45657</v>
      </c>
      <c r="X35" s="475" t="s">
        <v>550</v>
      </c>
      <c r="Y35" s="2888"/>
    </row>
    <row r="36" spans="1:25">
      <c r="A36" s="375"/>
      <c r="B36" s="491">
        <v>5403002</v>
      </c>
      <c r="C36" s="491" t="s">
        <v>116</v>
      </c>
      <c r="D36" s="492" t="s">
        <v>551</v>
      </c>
      <c r="E36" s="374"/>
      <c r="F36" s="375"/>
      <c r="G36" s="447"/>
      <c r="H36" s="447"/>
      <c r="I36" s="465"/>
      <c r="J36" s="447"/>
      <c r="K36" s="447"/>
      <c r="L36" s="452"/>
      <c r="M36" s="447"/>
      <c r="N36" s="452"/>
      <c r="O36" s="452"/>
      <c r="P36" s="378"/>
      <c r="Q36" s="378"/>
      <c r="R36" s="378"/>
      <c r="S36" s="378"/>
      <c r="T36" s="452"/>
      <c r="U36" s="452"/>
      <c r="V36" s="478"/>
      <c r="W36" s="478"/>
      <c r="X36" s="481"/>
      <c r="Y36" s="461"/>
    </row>
    <row r="37" spans="1:25" ht="27.6">
      <c r="A37" s="375"/>
      <c r="B37" s="375">
        <v>54030020004</v>
      </c>
      <c r="C37" s="375" t="s">
        <v>117</v>
      </c>
      <c r="D37" s="458" t="s">
        <v>552</v>
      </c>
      <c r="E37" s="374"/>
      <c r="F37" s="493"/>
      <c r="G37" s="447"/>
      <c r="H37" s="375"/>
      <c r="I37" s="465"/>
      <c r="J37" s="447"/>
      <c r="K37" s="447"/>
      <c r="L37" s="452"/>
      <c r="M37" s="447"/>
      <c r="N37" s="452"/>
      <c r="O37" s="452"/>
      <c r="P37" s="378"/>
      <c r="Q37" s="378"/>
      <c r="R37" s="378"/>
      <c r="S37" s="378"/>
      <c r="T37" s="452"/>
      <c r="U37" s="452"/>
      <c r="V37" s="478"/>
      <c r="W37" s="478"/>
      <c r="X37" s="481"/>
      <c r="Y37" s="463"/>
    </row>
    <row r="38" spans="1:25">
      <c r="A38" s="2878">
        <v>4112</v>
      </c>
      <c r="B38" s="2878"/>
      <c r="C38" s="2878" t="s">
        <v>502</v>
      </c>
      <c r="D38" s="2880" t="s">
        <v>553</v>
      </c>
      <c r="E38" s="473" t="s">
        <v>554</v>
      </c>
      <c r="F38" s="393"/>
      <c r="G38" s="465"/>
      <c r="H38" s="466"/>
      <c r="I38" s="465"/>
      <c r="J38" s="465"/>
      <c r="K38" s="465"/>
      <c r="L38" s="384">
        <f>SUM(L39:L40)</f>
        <v>1</v>
      </c>
      <c r="M38" s="465"/>
      <c r="N38" s="384">
        <f>SUM(N39:N40)</f>
        <v>0</v>
      </c>
      <c r="O38" s="2887">
        <f>IF(Q38&gt;0, N38,"na")</f>
        <v>0</v>
      </c>
      <c r="P38" s="383">
        <f>SUM(P39:P40)</f>
        <v>1400000000</v>
      </c>
      <c r="Q38" s="383">
        <f>SUM(Q39:Q40)</f>
        <v>1400000000</v>
      </c>
      <c r="R38" s="383">
        <f>SUM(R39:R40)</f>
        <v>0</v>
      </c>
      <c r="S38" s="383">
        <f>SUM(S39:S40)</f>
        <v>0</v>
      </c>
      <c r="T38" s="494">
        <f t="shared" ref="T38:U40" si="5">IF(Q38=0,0,R38/Q38)</f>
        <v>0</v>
      </c>
      <c r="U38" s="494">
        <f t="shared" si="5"/>
        <v>0</v>
      </c>
      <c r="V38" s="470"/>
      <c r="W38" s="470"/>
      <c r="X38" s="481"/>
      <c r="Y38" s="472"/>
    </row>
    <row r="39" spans="1:25" ht="34.200000000000003">
      <c r="A39" s="2889"/>
      <c r="B39" s="2889"/>
      <c r="C39" s="2889"/>
      <c r="D39" s="2891"/>
      <c r="E39" s="495" t="s">
        <v>555</v>
      </c>
      <c r="F39" s="495"/>
      <c r="G39" s="495"/>
      <c r="H39" s="496"/>
      <c r="I39" s="464" t="s">
        <v>482</v>
      </c>
      <c r="J39" s="497" t="s">
        <v>556</v>
      </c>
      <c r="K39" s="495">
        <v>1</v>
      </c>
      <c r="L39" s="494">
        <v>0.15</v>
      </c>
      <c r="M39" s="495">
        <v>0</v>
      </c>
      <c r="N39" s="494">
        <v>0</v>
      </c>
      <c r="O39" s="2893"/>
      <c r="P39" s="392">
        <v>206099000</v>
      </c>
      <c r="Q39" s="392">
        <v>206099000</v>
      </c>
      <c r="R39" s="392">
        <v>0</v>
      </c>
      <c r="S39" s="498">
        <v>0</v>
      </c>
      <c r="T39" s="384">
        <f t="shared" si="5"/>
        <v>0</v>
      </c>
      <c r="U39" s="384">
        <f t="shared" si="5"/>
        <v>0</v>
      </c>
      <c r="V39" s="499"/>
      <c r="W39" s="500"/>
      <c r="X39" s="475"/>
      <c r="Y39" s="2895" t="s">
        <v>509</v>
      </c>
    </row>
    <row r="40" spans="1:25" ht="105.6">
      <c r="A40" s="2890"/>
      <c r="B40" s="2890"/>
      <c r="C40" s="2890"/>
      <c r="D40" s="2892"/>
      <c r="E40" s="503" t="s">
        <v>557</v>
      </c>
      <c r="F40" s="501"/>
      <c r="G40" s="502" t="s">
        <v>558</v>
      </c>
      <c r="H40" s="501"/>
      <c r="I40" s="504" t="s">
        <v>559</v>
      </c>
      <c r="J40" s="502" t="s">
        <v>560</v>
      </c>
      <c r="K40" s="505">
        <v>1</v>
      </c>
      <c r="L40" s="506">
        <v>0.85</v>
      </c>
      <c r="M40" s="505">
        <v>0</v>
      </c>
      <c r="N40" s="506">
        <v>0</v>
      </c>
      <c r="O40" s="2894"/>
      <c r="P40" s="507">
        <v>1193901000</v>
      </c>
      <c r="Q40" s="507">
        <v>1193901000</v>
      </c>
      <c r="R40" s="507">
        <v>0</v>
      </c>
      <c r="S40" s="507">
        <v>0</v>
      </c>
      <c r="T40" s="508">
        <f t="shared" si="5"/>
        <v>0</v>
      </c>
      <c r="U40" s="508">
        <f t="shared" si="5"/>
        <v>0</v>
      </c>
      <c r="V40" s="509"/>
      <c r="W40" s="509"/>
      <c r="X40" s="510"/>
      <c r="Y40" s="2896"/>
    </row>
    <row r="41" spans="1:25">
      <c r="A41" s="511"/>
      <c r="B41" s="512"/>
      <c r="C41" s="511"/>
      <c r="D41" s="512"/>
      <c r="E41" s="513"/>
      <c r="F41" s="512"/>
      <c r="G41" s="512"/>
      <c r="H41" s="512"/>
      <c r="I41" s="512"/>
      <c r="J41" s="511"/>
      <c r="K41" s="513"/>
      <c r="L41" s="513"/>
      <c r="M41" s="512"/>
      <c r="N41" s="512"/>
      <c r="O41" s="514"/>
      <c r="P41" s="428"/>
      <c r="Q41" s="428"/>
      <c r="R41" s="428"/>
      <c r="S41" s="428"/>
      <c r="T41" s="514"/>
      <c r="U41" s="514"/>
      <c r="V41" s="512"/>
      <c r="W41" s="512"/>
      <c r="X41" s="515"/>
      <c r="Y41" s="516"/>
    </row>
    <row r="42" spans="1:25">
      <c r="A42" s="517"/>
      <c r="B42" s="416" t="s">
        <v>50</v>
      </c>
      <c r="C42" s="517">
        <f>COUNTIF(C7:C40,"pr")</f>
        <v>7</v>
      </c>
      <c r="D42" s="416"/>
      <c r="E42" s="518" t="s">
        <v>126</v>
      </c>
      <c r="F42" s="416"/>
      <c r="G42" s="517">
        <f>COUNTIF(O11:O40,"na")</f>
        <v>0</v>
      </c>
      <c r="H42" s="416"/>
      <c r="I42" s="416"/>
      <c r="J42" s="517"/>
      <c r="K42" s="518"/>
      <c r="L42" s="518"/>
      <c r="M42" s="416"/>
      <c r="N42" s="519" t="s">
        <v>561</v>
      </c>
      <c r="O42" s="520">
        <f>AVERAGE(O11:O40)</f>
        <v>0.10957142857142857</v>
      </c>
      <c r="P42" s="521">
        <f>+P11+P16+P20+P24+P30+P33+P38</f>
        <v>10000000000</v>
      </c>
      <c r="Q42" s="521">
        <f>+Q11+Q16+Q20+Q24+Q30+Q33+Q38</f>
        <v>15095976000</v>
      </c>
      <c r="R42" s="521">
        <f>+R11+R16+R20+R24+R30+R33+R38</f>
        <v>5137049500</v>
      </c>
      <c r="S42" s="521">
        <f>+S11+S16+S20+S24+S30+S33+S38</f>
        <v>564055500</v>
      </c>
      <c r="T42" s="522">
        <f>IF(Q42=0,0,R42/Q42)</f>
        <v>0.34029263825008732</v>
      </c>
      <c r="U42" s="522">
        <f>IF(R42=0,0,S42/R42)</f>
        <v>0.10980145314932239</v>
      </c>
      <c r="V42" s="416"/>
      <c r="W42" s="416"/>
      <c r="X42" s="515"/>
      <c r="Y42" s="519"/>
    </row>
    <row r="43" spans="1:25">
      <c r="A43" s="511"/>
      <c r="B43" s="512"/>
      <c r="C43" s="511"/>
      <c r="D43" s="512"/>
      <c r="E43" s="513"/>
      <c r="F43" s="512"/>
      <c r="G43" s="512"/>
      <c r="H43" s="512"/>
      <c r="I43" s="512"/>
      <c r="J43" s="511"/>
      <c r="K43" s="513"/>
      <c r="L43" s="513"/>
      <c r="M43" s="513"/>
      <c r="N43" s="523" t="s">
        <v>133</v>
      </c>
      <c r="O43" s="524">
        <f>COUNTIF(O11:O40,"=0%")</f>
        <v>2</v>
      </c>
      <c r="P43" s="521">
        <v>10000000000</v>
      </c>
      <c r="Q43" s="521">
        <v>15095976000</v>
      </c>
      <c r="R43" s="521">
        <v>5137049500</v>
      </c>
      <c r="S43" s="521">
        <v>564055500</v>
      </c>
      <c r="T43" s="512"/>
      <c r="U43" s="512"/>
      <c r="V43" s="512"/>
      <c r="W43" s="512"/>
      <c r="X43" s="515"/>
      <c r="Y43" s="516"/>
    </row>
    <row r="44" spans="1:25">
      <c r="F44" s="525"/>
      <c r="I44" s="525"/>
      <c r="Q44" s="526">
        <f>Q42-Q43</f>
        <v>0</v>
      </c>
      <c r="R44" s="526">
        <f>R42-R43</f>
        <v>0</v>
      </c>
      <c r="S44" s="526">
        <f t="shared" ref="S44" si="6">S42-S43</f>
        <v>0</v>
      </c>
      <c r="X44" s="527"/>
    </row>
  </sheetData>
  <mergeCells count="72">
    <mergeCell ref="Y34:Y35"/>
    <mergeCell ref="A38:A40"/>
    <mergeCell ref="B38:B40"/>
    <mergeCell ref="C38:C40"/>
    <mergeCell ref="D38:D40"/>
    <mergeCell ref="O38:O40"/>
    <mergeCell ref="Y39:Y40"/>
    <mergeCell ref="A33:A35"/>
    <mergeCell ref="B33:B35"/>
    <mergeCell ref="C33:C35"/>
    <mergeCell ref="D33:D35"/>
    <mergeCell ref="O33:O35"/>
    <mergeCell ref="Y25:Y26"/>
    <mergeCell ref="A30:A31"/>
    <mergeCell ref="B30:B31"/>
    <mergeCell ref="C30:C31"/>
    <mergeCell ref="D30:D31"/>
    <mergeCell ref="O30:O31"/>
    <mergeCell ref="A24:A26"/>
    <mergeCell ref="B24:B26"/>
    <mergeCell ref="C24:C26"/>
    <mergeCell ref="D24:D26"/>
    <mergeCell ref="O24:O26"/>
    <mergeCell ref="Y17:Y18"/>
    <mergeCell ref="A20:A22"/>
    <mergeCell ref="B20:B22"/>
    <mergeCell ref="C20:C22"/>
    <mergeCell ref="D20:D22"/>
    <mergeCell ref="O20:O22"/>
    <mergeCell ref="Y21:Y22"/>
    <mergeCell ref="A16:A18"/>
    <mergeCell ref="B16:B18"/>
    <mergeCell ref="C16:C18"/>
    <mergeCell ref="D16:D18"/>
    <mergeCell ref="O16:O18"/>
    <mergeCell ref="A11:A12"/>
    <mergeCell ref="B11:B12"/>
    <mergeCell ref="C11:C12"/>
    <mergeCell ref="D11:D12"/>
    <mergeCell ref="O11:O12"/>
    <mergeCell ref="A2:Y2"/>
    <mergeCell ref="A3:B3"/>
    <mergeCell ref="C3:R3"/>
    <mergeCell ref="S3:U3"/>
    <mergeCell ref="V3:W3"/>
    <mergeCell ref="C5:C6"/>
    <mergeCell ref="O5:O6"/>
    <mergeCell ref="M5:M6"/>
    <mergeCell ref="T5:T6"/>
    <mergeCell ref="U5:U6"/>
    <mergeCell ref="P5:P6"/>
    <mergeCell ref="A1:X1"/>
    <mergeCell ref="V5:V6"/>
    <mergeCell ref="W5:W6"/>
    <mergeCell ref="X5:X6"/>
    <mergeCell ref="R5:R6"/>
    <mergeCell ref="J5:J6"/>
    <mergeCell ref="L5:L6"/>
    <mergeCell ref="I5:I6"/>
    <mergeCell ref="N5:N6"/>
    <mergeCell ref="Q5:Q6"/>
    <mergeCell ref="H5:H6"/>
    <mergeCell ref="K5:K6"/>
    <mergeCell ref="A4:Y4"/>
    <mergeCell ref="A5:A6"/>
    <mergeCell ref="B5:B6"/>
    <mergeCell ref="E5:E6"/>
    <mergeCell ref="Y5:Y6"/>
    <mergeCell ref="S5:S6"/>
    <mergeCell ref="G5:G6"/>
    <mergeCell ref="F5:F6"/>
    <mergeCell ref="D5:D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&amp;R&amp;"Arial,Normal"&amp;8Página &amp;P de &amp;N</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158"/>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7" customFormat="1" ht="24.9" customHeight="1">
      <c r="A3" s="3021" t="s">
        <v>87</v>
      </c>
      <c r="B3" s="3021"/>
      <c r="C3" s="3021" t="s">
        <v>277</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3">
        <v>2024</v>
      </c>
    </row>
    <row r="4" spans="1:25" s="27" customFormat="1" ht="25.5" customHeight="1">
      <c r="A4" s="3258"/>
      <c r="B4" s="3258"/>
      <c r="C4" s="3258"/>
      <c r="D4" s="3258"/>
      <c r="E4" s="3258"/>
      <c r="F4" s="3258"/>
      <c r="G4" s="3258"/>
      <c r="H4" s="3258"/>
      <c r="I4" s="3258"/>
      <c r="J4" s="3258"/>
      <c r="K4" s="3258"/>
      <c r="L4" s="3258"/>
      <c r="M4" s="3258"/>
      <c r="N4" s="3258"/>
      <c r="O4" s="3258"/>
      <c r="P4" s="3258"/>
      <c r="Q4" s="3258"/>
      <c r="R4" s="3258"/>
      <c r="S4" s="3258"/>
      <c r="T4" s="3258"/>
      <c r="U4" s="3258"/>
      <c r="V4" s="3258"/>
      <c r="W4" s="3258"/>
      <c r="X4" s="3258"/>
      <c r="Y4" s="3258"/>
    </row>
    <row r="5" spans="1:25" s="27" customFormat="1" ht="53.25" customHeight="1">
      <c r="A5" s="3024" t="s">
        <v>88</v>
      </c>
      <c r="B5" s="3024" t="s">
        <v>4</v>
      </c>
      <c r="C5" s="3024" t="s">
        <v>3</v>
      </c>
      <c r="D5" s="3024" t="s">
        <v>278</v>
      </c>
      <c r="E5" s="3024" t="s">
        <v>2</v>
      </c>
      <c r="F5" s="3024" t="s">
        <v>89</v>
      </c>
      <c r="G5" s="3256" t="s">
        <v>106</v>
      </c>
      <c r="H5" s="3256" t="s">
        <v>107</v>
      </c>
      <c r="I5" s="3024" t="s">
        <v>8</v>
      </c>
      <c r="J5" s="3024" t="s">
        <v>9</v>
      </c>
      <c r="K5" s="3024" t="s">
        <v>10</v>
      </c>
      <c r="L5" s="3024" t="s">
        <v>11</v>
      </c>
      <c r="M5" s="3022" t="s">
        <v>100</v>
      </c>
      <c r="N5" s="3260" t="s">
        <v>12</v>
      </c>
      <c r="O5" s="3260" t="s">
        <v>86</v>
      </c>
      <c r="P5" s="3024" t="s">
        <v>1</v>
      </c>
      <c r="Q5" s="3011" t="s">
        <v>13</v>
      </c>
      <c r="R5" s="3011" t="s">
        <v>14</v>
      </c>
      <c r="S5" s="3011" t="s">
        <v>16</v>
      </c>
      <c r="T5" s="3011" t="s">
        <v>15</v>
      </c>
      <c r="U5" s="3011" t="s">
        <v>103</v>
      </c>
      <c r="V5" s="3024" t="s">
        <v>6</v>
      </c>
      <c r="W5" s="3024" t="s">
        <v>7</v>
      </c>
      <c r="X5" s="3011" t="s">
        <v>0</v>
      </c>
      <c r="Y5" s="3022" t="s">
        <v>90</v>
      </c>
    </row>
    <row r="6" spans="1:25" s="27" customFormat="1" ht="42.75" customHeight="1">
      <c r="A6" s="3158"/>
      <c r="B6" s="3158"/>
      <c r="C6" s="3158"/>
      <c r="D6" s="3158"/>
      <c r="E6" s="3158"/>
      <c r="F6" s="3158"/>
      <c r="G6" s="3257"/>
      <c r="H6" s="3257"/>
      <c r="I6" s="3158"/>
      <c r="J6" s="3158"/>
      <c r="K6" s="3158"/>
      <c r="L6" s="3158"/>
      <c r="M6" s="3259"/>
      <c r="N6" s="3261"/>
      <c r="O6" s="3261"/>
      <c r="P6" s="3158"/>
      <c r="Q6" s="3157"/>
      <c r="R6" s="3157"/>
      <c r="S6" s="3157"/>
      <c r="T6" s="3157"/>
      <c r="U6" s="3157"/>
      <c r="V6" s="3158"/>
      <c r="W6" s="3158"/>
      <c r="X6" s="3157"/>
      <c r="Y6" s="3259"/>
    </row>
    <row r="7" spans="1:25" ht="15.6">
      <c r="A7" s="830"/>
      <c r="B7" s="830">
        <v>51</v>
      </c>
      <c r="C7" s="830" t="s">
        <v>114</v>
      </c>
      <c r="D7" s="2196" t="s">
        <v>1351</v>
      </c>
      <c r="E7" s="831"/>
      <c r="F7" s="832"/>
      <c r="G7" s="832"/>
      <c r="H7" s="830"/>
      <c r="I7" s="832"/>
      <c r="J7" s="832"/>
      <c r="K7" s="830"/>
      <c r="L7" s="2197"/>
      <c r="M7" s="1120"/>
      <c r="N7" s="2198"/>
      <c r="O7" s="2199"/>
      <c r="P7" s="1120"/>
      <c r="Q7" s="1120"/>
      <c r="R7" s="1120"/>
      <c r="S7" s="1120"/>
      <c r="T7" s="2200"/>
      <c r="U7" s="2200"/>
      <c r="V7" s="1914"/>
      <c r="W7" s="1914"/>
      <c r="X7" s="1914"/>
      <c r="Y7" s="1914"/>
    </row>
    <row r="8" spans="1:25" ht="15.6">
      <c r="A8" s="839"/>
      <c r="B8" s="837">
        <v>5103</v>
      </c>
      <c r="C8" s="837" t="s">
        <v>115</v>
      </c>
      <c r="D8" s="839" t="s">
        <v>2858</v>
      </c>
      <c r="E8" s="838"/>
      <c r="F8" s="839"/>
      <c r="G8" s="839"/>
      <c r="H8" s="837"/>
      <c r="I8" s="839"/>
      <c r="J8" s="839"/>
      <c r="K8" s="837"/>
      <c r="L8" s="2201"/>
      <c r="M8" s="847"/>
      <c r="N8" s="2202"/>
      <c r="O8" s="845"/>
      <c r="P8" s="847"/>
      <c r="Q8" s="847"/>
      <c r="R8" s="847"/>
      <c r="S8" s="847"/>
      <c r="T8" s="867"/>
      <c r="U8" s="867"/>
      <c r="V8" s="846"/>
      <c r="W8" s="846"/>
      <c r="X8" s="846"/>
      <c r="Y8" s="846"/>
    </row>
    <row r="9" spans="1:25">
      <c r="A9" s="872"/>
      <c r="B9" s="873">
        <v>5103001</v>
      </c>
      <c r="C9" s="873" t="s">
        <v>116</v>
      </c>
      <c r="D9" s="872" t="s">
        <v>2859</v>
      </c>
      <c r="E9" s="874"/>
      <c r="F9" s="872"/>
      <c r="G9" s="872"/>
      <c r="H9" s="873"/>
      <c r="I9" s="872"/>
      <c r="J9" s="872"/>
      <c r="K9" s="873"/>
      <c r="L9" s="2203"/>
      <c r="M9" s="847"/>
      <c r="N9" s="2202"/>
      <c r="O9" s="2204"/>
      <c r="P9" s="847"/>
      <c r="Q9" s="847"/>
      <c r="R9" s="847"/>
      <c r="S9" s="847"/>
      <c r="T9" s="867"/>
      <c r="U9" s="867"/>
      <c r="V9" s="846"/>
      <c r="W9" s="846"/>
      <c r="X9" s="846"/>
      <c r="Y9" s="846"/>
    </row>
    <row r="10" spans="1:25" ht="27.6">
      <c r="A10" s="846"/>
      <c r="B10" s="851">
        <v>51030010006</v>
      </c>
      <c r="C10" s="851" t="s">
        <v>117</v>
      </c>
      <c r="D10" s="846" t="s">
        <v>4014</v>
      </c>
      <c r="E10" s="845"/>
      <c r="F10" s="846"/>
      <c r="G10" s="846"/>
      <c r="H10" s="844"/>
      <c r="I10" s="846"/>
      <c r="J10" s="846"/>
      <c r="K10" s="844"/>
      <c r="L10" s="2202"/>
      <c r="M10" s="847"/>
      <c r="N10" s="2202"/>
      <c r="O10" s="2204"/>
      <c r="P10" s="847"/>
      <c r="Q10" s="847"/>
      <c r="R10" s="847"/>
      <c r="S10" s="847"/>
      <c r="T10" s="867"/>
      <c r="U10" s="867"/>
      <c r="V10" s="846"/>
      <c r="W10" s="846"/>
      <c r="X10" s="846"/>
      <c r="Y10" s="846"/>
    </row>
    <row r="11" spans="1:25">
      <c r="A11" s="3076">
        <v>4162</v>
      </c>
      <c r="B11" s="852"/>
      <c r="C11" s="3251" t="s">
        <v>123</v>
      </c>
      <c r="D11" s="3042" t="s">
        <v>4015</v>
      </c>
      <c r="E11" s="878" t="s">
        <v>4016</v>
      </c>
      <c r="F11" s="857"/>
      <c r="G11" s="857"/>
      <c r="H11" s="858"/>
      <c r="I11" s="857"/>
      <c r="J11" s="857"/>
      <c r="K11" s="858"/>
      <c r="L11" s="854">
        <f>SUM(L12)</f>
        <v>1</v>
      </c>
      <c r="M11" s="853">
        <f>M12</f>
        <v>0</v>
      </c>
      <c r="N11" s="2209">
        <f>N12</f>
        <v>0</v>
      </c>
      <c r="O11" s="3253">
        <f>IF(Q11&gt;0,N11,"na")</f>
        <v>0</v>
      </c>
      <c r="P11" s="1081">
        <f>SUM(P12)</f>
        <v>149583863</v>
      </c>
      <c r="Q11" s="1081">
        <f t="shared" ref="Q11:S11" si="0">SUM(Q12)</f>
        <v>149583863</v>
      </c>
      <c r="R11" s="1081">
        <f t="shared" si="0"/>
        <v>0</v>
      </c>
      <c r="S11" s="1081">
        <f t="shared" si="0"/>
        <v>0</v>
      </c>
      <c r="T11" s="886">
        <f>+IF(Q11=0,0,R11/Q11)</f>
        <v>0</v>
      </c>
      <c r="U11" s="886">
        <f>+IF(R11=0,0,S11/R11)</f>
        <v>0</v>
      </c>
      <c r="V11" s="857"/>
      <c r="W11" s="857"/>
      <c r="X11" s="857"/>
      <c r="Y11" s="858"/>
    </row>
    <row r="12" spans="1:25" ht="92.4">
      <c r="A12" s="3076"/>
      <c r="B12" s="852"/>
      <c r="C12" s="3251"/>
      <c r="D12" s="3042"/>
      <c r="E12" s="878" t="s">
        <v>4017</v>
      </c>
      <c r="F12" s="857"/>
      <c r="G12" s="857" t="s">
        <v>4018</v>
      </c>
      <c r="H12" s="1107"/>
      <c r="I12" s="857" t="s">
        <v>4019</v>
      </c>
      <c r="J12" s="857" t="s">
        <v>4018</v>
      </c>
      <c r="K12" s="858">
        <v>1</v>
      </c>
      <c r="L12" s="854">
        <v>1</v>
      </c>
      <c r="M12" s="853">
        <v>0</v>
      </c>
      <c r="N12" s="2209">
        <f>(M12/K12)*L12</f>
        <v>0</v>
      </c>
      <c r="O12" s="3253"/>
      <c r="P12" s="1081">
        <v>149583863</v>
      </c>
      <c r="Q12" s="853">
        <v>149583863</v>
      </c>
      <c r="R12" s="853">
        <v>0</v>
      </c>
      <c r="S12" s="853">
        <v>0</v>
      </c>
      <c r="T12" s="886">
        <f>+IF(Q12=0,0,R12/Q12)</f>
        <v>0</v>
      </c>
      <c r="U12" s="886">
        <f>+IF(R12=0,0,S12/R12)</f>
        <v>0</v>
      </c>
      <c r="V12" s="857"/>
      <c r="W12" s="857"/>
      <c r="X12" s="857" t="s">
        <v>4020</v>
      </c>
      <c r="Y12" s="858" t="s">
        <v>4021</v>
      </c>
    </row>
    <row r="13" spans="1:25">
      <c r="A13" s="3076">
        <v>4162</v>
      </c>
      <c r="B13" s="852"/>
      <c r="C13" s="3251" t="s">
        <v>123</v>
      </c>
      <c r="D13" s="3042" t="s">
        <v>4022</v>
      </c>
      <c r="E13" s="878" t="s">
        <v>4023</v>
      </c>
      <c r="F13" s="857"/>
      <c r="G13" s="857"/>
      <c r="H13" s="858"/>
      <c r="I13" s="857"/>
      <c r="J13" s="857"/>
      <c r="K13" s="858"/>
      <c r="L13" s="854">
        <f>SUM(L14)</f>
        <v>1</v>
      </c>
      <c r="M13" s="853">
        <f>M14</f>
        <v>1</v>
      </c>
      <c r="N13" s="2209">
        <f>N14</f>
        <v>0.2</v>
      </c>
      <c r="O13" s="3253">
        <f>IF(Q13&gt;0,N13,"na")</f>
        <v>0.2</v>
      </c>
      <c r="P13" s="1081">
        <f>SUM(P14)</f>
        <v>4598240000</v>
      </c>
      <c r="Q13" s="1081">
        <f t="shared" ref="Q13:S13" si="1">SUM(Q14)</f>
        <v>4598240000</v>
      </c>
      <c r="R13" s="1081">
        <f t="shared" si="1"/>
        <v>300000000</v>
      </c>
      <c r="S13" s="1081">
        <f t="shared" si="1"/>
        <v>0</v>
      </c>
      <c r="T13" s="886">
        <f t="shared" ref="T13:U28" si="2">+IF(Q13=0,0,R13/Q13)</f>
        <v>6.5242353596158528E-2</v>
      </c>
      <c r="U13" s="886">
        <f t="shared" si="2"/>
        <v>0</v>
      </c>
      <c r="V13" s="857"/>
      <c r="W13" s="857"/>
      <c r="X13" s="857"/>
      <c r="Y13" s="858"/>
    </row>
    <row r="14" spans="1:25" ht="79.2">
      <c r="A14" s="3076"/>
      <c r="B14" s="852"/>
      <c r="C14" s="3251"/>
      <c r="D14" s="3042"/>
      <c r="E14" s="878" t="s">
        <v>4024</v>
      </c>
      <c r="F14" s="857"/>
      <c r="G14" s="857" t="s">
        <v>4018</v>
      </c>
      <c r="H14" s="1107"/>
      <c r="I14" s="857" t="s">
        <v>4025</v>
      </c>
      <c r="J14" s="857" t="s">
        <v>4018</v>
      </c>
      <c r="K14" s="858">
        <v>5</v>
      </c>
      <c r="L14" s="854">
        <v>1</v>
      </c>
      <c r="M14" s="853">
        <v>1</v>
      </c>
      <c r="N14" s="2209">
        <f>(M14/K14)*L14</f>
        <v>0.2</v>
      </c>
      <c r="O14" s="3253"/>
      <c r="P14" s="1081">
        <v>4598240000</v>
      </c>
      <c r="Q14" s="853">
        <v>4598240000</v>
      </c>
      <c r="R14" s="853">
        <v>300000000</v>
      </c>
      <c r="S14" s="853">
        <v>0</v>
      </c>
      <c r="T14" s="886">
        <f t="shared" si="2"/>
        <v>6.5242353596158528E-2</v>
      </c>
      <c r="U14" s="886">
        <f>+IF(R14=0,0,S14/R14)</f>
        <v>0</v>
      </c>
      <c r="V14" s="856">
        <v>45344</v>
      </c>
      <c r="W14" s="856">
        <v>45657</v>
      </c>
      <c r="X14" s="857" t="s">
        <v>4026</v>
      </c>
      <c r="Y14" s="858" t="s">
        <v>4021</v>
      </c>
    </row>
    <row r="15" spans="1:25">
      <c r="A15" s="3076">
        <v>4162</v>
      </c>
      <c r="B15" s="852"/>
      <c r="C15" s="3251" t="s">
        <v>123</v>
      </c>
      <c r="D15" s="3042" t="s">
        <v>4027</v>
      </c>
      <c r="E15" s="878" t="s">
        <v>4028</v>
      </c>
      <c r="F15" s="857"/>
      <c r="G15" s="857"/>
      <c r="H15" s="858"/>
      <c r="I15" s="857"/>
      <c r="J15" s="857"/>
      <c r="K15" s="858"/>
      <c r="L15" s="854">
        <f>SUM(L16)</f>
        <v>1</v>
      </c>
      <c r="M15" s="853">
        <f>M16</f>
        <v>0</v>
      </c>
      <c r="N15" s="2209">
        <f>N16</f>
        <v>0</v>
      </c>
      <c r="O15" s="3253">
        <f>IF(Q15&gt;0,N15,"na")</f>
        <v>0</v>
      </c>
      <c r="P15" s="1081">
        <f>SUM(P16)</f>
        <v>216153519</v>
      </c>
      <c r="Q15" s="1081">
        <f t="shared" ref="Q15:S15" si="3">SUM(Q16)</f>
        <v>216153519</v>
      </c>
      <c r="R15" s="1081">
        <f t="shared" si="3"/>
        <v>0</v>
      </c>
      <c r="S15" s="1081">
        <f t="shared" si="3"/>
        <v>0</v>
      </c>
      <c r="T15" s="886">
        <f t="shared" si="2"/>
        <v>0</v>
      </c>
      <c r="U15" s="886">
        <f t="shared" si="2"/>
        <v>0</v>
      </c>
      <c r="V15" s="857"/>
      <c r="W15" s="857"/>
      <c r="X15" s="857"/>
      <c r="Y15" s="858"/>
    </row>
    <row r="16" spans="1:25" ht="92.4">
      <c r="A16" s="3076"/>
      <c r="B16" s="852"/>
      <c r="C16" s="3251"/>
      <c r="D16" s="3042"/>
      <c r="E16" s="878" t="s">
        <v>4029</v>
      </c>
      <c r="F16" s="857"/>
      <c r="G16" s="857" t="s">
        <v>4018</v>
      </c>
      <c r="H16" s="1107"/>
      <c r="I16" s="857" t="s">
        <v>4019</v>
      </c>
      <c r="J16" s="857" t="s">
        <v>4018</v>
      </c>
      <c r="K16" s="858">
        <v>1</v>
      </c>
      <c r="L16" s="854">
        <v>1</v>
      </c>
      <c r="M16" s="853">
        <v>0</v>
      </c>
      <c r="N16" s="2209">
        <f>(M16/K16)*L16</f>
        <v>0</v>
      </c>
      <c r="O16" s="3253"/>
      <c r="P16" s="1081">
        <v>216153519</v>
      </c>
      <c r="Q16" s="853">
        <v>216153519</v>
      </c>
      <c r="R16" s="853">
        <v>0</v>
      </c>
      <c r="S16" s="853">
        <v>0</v>
      </c>
      <c r="T16" s="886">
        <f t="shared" si="2"/>
        <v>0</v>
      </c>
      <c r="U16" s="886">
        <f t="shared" si="2"/>
        <v>0</v>
      </c>
      <c r="V16" s="857"/>
      <c r="W16" s="857"/>
      <c r="X16" s="857" t="s">
        <v>4020</v>
      </c>
      <c r="Y16" s="858" t="s">
        <v>4021</v>
      </c>
    </row>
    <row r="17" spans="1:25">
      <c r="A17" s="3076">
        <v>4162</v>
      </c>
      <c r="B17" s="852"/>
      <c r="C17" s="3251" t="s">
        <v>123</v>
      </c>
      <c r="D17" s="3042" t="s">
        <v>4030</v>
      </c>
      <c r="E17" s="878" t="s">
        <v>4031</v>
      </c>
      <c r="F17" s="857"/>
      <c r="G17" s="857"/>
      <c r="H17" s="858"/>
      <c r="I17" s="857"/>
      <c r="J17" s="857"/>
      <c r="K17" s="858"/>
      <c r="L17" s="854">
        <f>SUM(L18)</f>
        <v>1</v>
      </c>
      <c r="M17" s="853">
        <f>M18</f>
        <v>0</v>
      </c>
      <c r="N17" s="2209">
        <f>N18</f>
        <v>0</v>
      </c>
      <c r="O17" s="3253">
        <f>IF(Q17&gt;0,N17,"na")</f>
        <v>0</v>
      </c>
      <c r="P17" s="1081">
        <f>SUM(P18)</f>
        <v>243773201</v>
      </c>
      <c r="Q17" s="1081">
        <f t="shared" ref="Q17:S17" si="4">SUM(Q18)</f>
        <v>243773201</v>
      </c>
      <c r="R17" s="1081">
        <f t="shared" si="4"/>
        <v>0</v>
      </c>
      <c r="S17" s="1081">
        <f t="shared" si="4"/>
        <v>0</v>
      </c>
      <c r="T17" s="886">
        <f t="shared" si="2"/>
        <v>0</v>
      </c>
      <c r="U17" s="886">
        <f t="shared" si="2"/>
        <v>0</v>
      </c>
      <c r="V17" s="857"/>
      <c r="W17" s="857"/>
      <c r="X17" s="857"/>
      <c r="Y17" s="858"/>
    </row>
    <row r="18" spans="1:25" ht="92.4">
      <c r="A18" s="3076"/>
      <c r="B18" s="852"/>
      <c r="C18" s="3251"/>
      <c r="D18" s="3042"/>
      <c r="E18" s="878" t="s">
        <v>4032</v>
      </c>
      <c r="F18" s="857"/>
      <c r="G18" s="857" t="s">
        <v>4018</v>
      </c>
      <c r="H18" s="1107"/>
      <c r="I18" s="857" t="s">
        <v>4019</v>
      </c>
      <c r="J18" s="857" t="s">
        <v>4018</v>
      </c>
      <c r="K18" s="858">
        <v>1</v>
      </c>
      <c r="L18" s="854">
        <v>1</v>
      </c>
      <c r="M18" s="853">
        <v>0</v>
      </c>
      <c r="N18" s="2209">
        <f>(M18/K18)*L18</f>
        <v>0</v>
      </c>
      <c r="O18" s="3253"/>
      <c r="P18" s="1081">
        <v>243773201</v>
      </c>
      <c r="Q18" s="853">
        <v>243773201</v>
      </c>
      <c r="R18" s="853">
        <v>0</v>
      </c>
      <c r="S18" s="853">
        <v>0</v>
      </c>
      <c r="T18" s="886">
        <f t="shared" si="2"/>
        <v>0</v>
      </c>
      <c r="U18" s="886">
        <f t="shared" si="2"/>
        <v>0</v>
      </c>
      <c r="V18" s="857"/>
      <c r="W18" s="857"/>
      <c r="X18" s="857" t="s">
        <v>4020</v>
      </c>
      <c r="Y18" s="858" t="s">
        <v>4021</v>
      </c>
    </row>
    <row r="19" spans="1:25">
      <c r="A19" s="3076">
        <v>4162</v>
      </c>
      <c r="B19" s="852"/>
      <c r="C19" s="3251" t="s">
        <v>123</v>
      </c>
      <c r="D19" s="3042" t="s">
        <v>4033</v>
      </c>
      <c r="E19" s="878" t="s">
        <v>4034</v>
      </c>
      <c r="F19" s="857"/>
      <c r="G19" s="857"/>
      <c r="H19" s="858"/>
      <c r="I19" s="857"/>
      <c r="J19" s="857"/>
      <c r="K19" s="858"/>
      <c r="L19" s="854">
        <f>SUM(L20)</f>
        <v>1</v>
      </c>
      <c r="M19" s="853">
        <f>M20</f>
        <v>0</v>
      </c>
      <c r="N19" s="2209">
        <f>N20</f>
        <v>0</v>
      </c>
      <c r="O19" s="3253">
        <f>IF(Q19&gt;0,N19,"na")</f>
        <v>0</v>
      </c>
      <c r="P19" s="1081">
        <f>SUM(P20)</f>
        <v>120536071</v>
      </c>
      <c r="Q19" s="1081">
        <f t="shared" ref="Q19:S19" si="5">SUM(Q20)</f>
        <v>120536071</v>
      </c>
      <c r="R19" s="1081">
        <f t="shared" si="5"/>
        <v>0</v>
      </c>
      <c r="S19" s="1081">
        <f t="shared" si="5"/>
        <v>0</v>
      </c>
      <c r="T19" s="886">
        <f t="shared" si="2"/>
        <v>0</v>
      </c>
      <c r="U19" s="886">
        <f t="shared" si="2"/>
        <v>0</v>
      </c>
      <c r="V19" s="857"/>
      <c r="W19" s="857"/>
      <c r="X19" s="857"/>
      <c r="Y19" s="858"/>
    </row>
    <row r="20" spans="1:25" ht="92.4">
      <c r="A20" s="3076"/>
      <c r="B20" s="852"/>
      <c r="C20" s="3251"/>
      <c r="D20" s="3042"/>
      <c r="E20" s="878" t="s">
        <v>4035</v>
      </c>
      <c r="F20" s="857"/>
      <c r="G20" s="857" t="s">
        <v>4018</v>
      </c>
      <c r="H20" s="1107"/>
      <c r="I20" s="857" t="s">
        <v>4019</v>
      </c>
      <c r="J20" s="857" t="s">
        <v>4018</v>
      </c>
      <c r="K20" s="858">
        <v>1</v>
      </c>
      <c r="L20" s="854">
        <v>1</v>
      </c>
      <c r="M20" s="853">
        <v>0</v>
      </c>
      <c r="N20" s="2209">
        <f>(M20/K20)*L20</f>
        <v>0</v>
      </c>
      <c r="O20" s="3253"/>
      <c r="P20" s="1081">
        <v>120536071</v>
      </c>
      <c r="Q20" s="853">
        <v>120536071</v>
      </c>
      <c r="R20" s="853">
        <v>0</v>
      </c>
      <c r="S20" s="853">
        <v>0</v>
      </c>
      <c r="T20" s="886">
        <f t="shared" si="2"/>
        <v>0</v>
      </c>
      <c r="U20" s="886">
        <f t="shared" si="2"/>
        <v>0</v>
      </c>
      <c r="V20" s="857"/>
      <c r="W20" s="857"/>
      <c r="X20" s="857" t="s">
        <v>4020</v>
      </c>
      <c r="Y20" s="858" t="s">
        <v>4021</v>
      </c>
    </row>
    <row r="21" spans="1:25">
      <c r="A21" s="3076">
        <v>4162</v>
      </c>
      <c r="B21" s="852"/>
      <c r="C21" s="3251" t="s">
        <v>123</v>
      </c>
      <c r="D21" s="3042" t="s">
        <v>4036</v>
      </c>
      <c r="E21" s="878" t="s">
        <v>4037</v>
      </c>
      <c r="F21" s="857"/>
      <c r="G21" s="857"/>
      <c r="H21" s="858"/>
      <c r="I21" s="857"/>
      <c r="J21" s="857"/>
      <c r="K21" s="858"/>
      <c r="L21" s="854">
        <f>SUM(L22)</f>
        <v>1</v>
      </c>
      <c r="M21" s="853">
        <f>M22</f>
        <v>0</v>
      </c>
      <c r="N21" s="2209">
        <f>N22</f>
        <v>0</v>
      </c>
      <c r="O21" s="3253">
        <f>IF(Q21&gt;0,N21,"na")</f>
        <v>0</v>
      </c>
      <c r="P21" s="1081">
        <f>SUM(P22)</f>
        <v>125150537</v>
      </c>
      <c r="Q21" s="1081">
        <f t="shared" ref="Q21:S21" si="6">SUM(Q22)</f>
        <v>125150537</v>
      </c>
      <c r="R21" s="1081">
        <f t="shared" si="6"/>
        <v>0</v>
      </c>
      <c r="S21" s="1081">
        <f t="shared" si="6"/>
        <v>0</v>
      </c>
      <c r="T21" s="886">
        <f t="shared" si="2"/>
        <v>0</v>
      </c>
      <c r="U21" s="886">
        <f t="shared" si="2"/>
        <v>0</v>
      </c>
      <c r="V21" s="857"/>
      <c r="W21" s="857"/>
      <c r="X21" s="857"/>
      <c r="Y21" s="858"/>
    </row>
    <row r="22" spans="1:25" ht="92.4">
      <c r="A22" s="3076"/>
      <c r="B22" s="852"/>
      <c r="C22" s="3251"/>
      <c r="D22" s="3042"/>
      <c r="E22" s="878" t="s">
        <v>4038</v>
      </c>
      <c r="F22" s="857"/>
      <c r="G22" s="857" t="s">
        <v>4018</v>
      </c>
      <c r="H22" s="1107"/>
      <c r="I22" s="857" t="s">
        <v>4019</v>
      </c>
      <c r="J22" s="857" t="s">
        <v>4018</v>
      </c>
      <c r="K22" s="858">
        <v>1</v>
      </c>
      <c r="L22" s="854">
        <v>1</v>
      </c>
      <c r="M22" s="853">
        <v>0</v>
      </c>
      <c r="N22" s="2209">
        <f>(M22/K22)*L22</f>
        <v>0</v>
      </c>
      <c r="O22" s="3253"/>
      <c r="P22" s="1081">
        <v>125150537</v>
      </c>
      <c r="Q22" s="853">
        <v>125150537</v>
      </c>
      <c r="R22" s="853">
        <v>0</v>
      </c>
      <c r="S22" s="853">
        <v>0</v>
      </c>
      <c r="T22" s="886">
        <f t="shared" si="2"/>
        <v>0</v>
      </c>
      <c r="U22" s="886">
        <f t="shared" si="2"/>
        <v>0</v>
      </c>
      <c r="V22" s="857"/>
      <c r="W22" s="857"/>
      <c r="X22" s="857" t="s">
        <v>4020</v>
      </c>
      <c r="Y22" s="858" t="s">
        <v>4021</v>
      </c>
    </row>
    <row r="23" spans="1:25">
      <c r="A23" s="3076">
        <v>4162</v>
      </c>
      <c r="B23" s="852"/>
      <c r="C23" s="3251" t="s">
        <v>123</v>
      </c>
      <c r="D23" s="3042" t="s">
        <v>4039</v>
      </c>
      <c r="E23" s="878" t="s">
        <v>4040</v>
      </c>
      <c r="F23" s="857"/>
      <c r="G23" s="857"/>
      <c r="H23" s="858"/>
      <c r="I23" s="857"/>
      <c r="J23" s="857"/>
      <c r="K23" s="858"/>
      <c r="L23" s="854">
        <f>SUM(L24)</f>
        <v>1</v>
      </c>
      <c r="M23" s="853">
        <f>M24</f>
        <v>0</v>
      </c>
      <c r="N23" s="2209">
        <f>N24</f>
        <v>0</v>
      </c>
      <c r="O23" s="3253">
        <f>IF(Q23&gt;0,N23,"na")</f>
        <v>0</v>
      </c>
      <c r="P23" s="1081">
        <f>SUM(P24)</f>
        <v>234830996</v>
      </c>
      <c r="Q23" s="1081">
        <f t="shared" ref="Q23:S23" si="7">SUM(Q24)</f>
        <v>234830996</v>
      </c>
      <c r="R23" s="1081">
        <f t="shared" si="7"/>
        <v>0</v>
      </c>
      <c r="S23" s="1081">
        <f t="shared" si="7"/>
        <v>0</v>
      </c>
      <c r="T23" s="886">
        <f t="shared" si="2"/>
        <v>0</v>
      </c>
      <c r="U23" s="886">
        <f t="shared" si="2"/>
        <v>0</v>
      </c>
      <c r="V23" s="857"/>
      <c r="W23" s="857"/>
      <c r="X23" s="857"/>
      <c r="Y23" s="858"/>
    </row>
    <row r="24" spans="1:25" ht="92.4">
      <c r="A24" s="3076"/>
      <c r="B24" s="852"/>
      <c r="C24" s="3251"/>
      <c r="D24" s="3042"/>
      <c r="E24" s="878" t="s">
        <v>4041</v>
      </c>
      <c r="F24" s="857"/>
      <c r="G24" s="857" t="s">
        <v>4018</v>
      </c>
      <c r="H24" s="1107"/>
      <c r="I24" s="857" t="s">
        <v>4019</v>
      </c>
      <c r="J24" s="857" t="s">
        <v>4018</v>
      </c>
      <c r="K24" s="858">
        <v>1</v>
      </c>
      <c r="L24" s="854">
        <v>1</v>
      </c>
      <c r="M24" s="853">
        <v>0</v>
      </c>
      <c r="N24" s="2209">
        <f>(M24/K24)*L24</f>
        <v>0</v>
      </c>
      <c r="O24" s="3253"/>
      <c r="P24" s="1081">
        <v>234830996</v>
      </c>
      <c r="Q24" s="853">
        <v>234830996</v>
      </c>
      <c r="R24" s="853">
        <v>0</v>
      </c>
      <c r="S24" s="853">
        <v>0</v>
      </c>
      <c r="T24" s="886">
        <f t="shared" si="2"/>
        <v>0</v>
      </c>
      <c r="U24" s="886">
        <f t="shared" si="2"/>
        <v>0</v>
      </c>
      <c r="V24" s="857"/>
      <c r="W24" s="857"/>
      <c r="X24" s="857" t="s">
        <v>4020</v>
      </c>
      <c r="Y24" s="858" t="s">
        <v>4021</v>
      </c>
    </row>
    <row r="25" spans="1:25">
      <c r="A25" s="3076">
        <v>4162</v>
      </c>
      <c r="B25" s="852"/>
      <c r="C25" s="3251" t="s">
        <v>123</v>
      </c>
      <c r="D25" s="3042" t="s">
        <v>4042</v>
      </c>
      <c r="E25" s="878" t="s">
        <v>4043</v>
      </c>
      <c r="F25" s="857"/>
      <c r="G25" s="857"/>
      <c r="H25" s="858"/>
      <c r="I25" s="857"/>
      <c r="J25" s="857"/>
      <c r="K25" s="858"/>
      <c r="L25" s="854">
        <f>SUM(L26)</f>
        <v>1</v>
      </c>
      <c r="M25" s="853">
        <f>M26</f>
        <v>0</v>
      </c>
      <c r="N25" s="2209">
        <f>N26</f>
        <v>0</v>
      </c>
      <c r="O25" s="3253">
        <f>IF(Q25&gt;0,N25,"na")</f>
        <v>0</v>
      </c>
      <c r="P25" s="1081">
        <f>SUM(P26)</f>
        <v>189890673</v>
      </c>
      <c r="Q25" s="1081">
        <f t="shared" ref="Q25:S25" si="8">SUM(Q26)</f>
        <v>189890673</v>
      </c>
      <c r="R25" s="1081">
        <f t="shared" si="8"/>
        <v>0</v>
      </c>
      <c r="S25" s="1081">
        <f t="shared" si="8"/>
        <v>0</v>
      </c>
      <c r="T25" s="886">
        <f t="shared" si="2"/>
        <v>0</v>
      </c>
      <c r="U25" s="886">
        <f t="shared" si="2"/>
        <v>0</v>
      </c>
      <c r="V25" s="857"/>
      <c r="W25" s="857"/>
      <c r="X25" s="857"/>
      <c r="Y25" s="858"/>
    </row>
    <row r="26" spans="1:25" ht="92.4">
      <c r="A26" s="3076"/>
      <c r="B26" s="852"/>
      <c r="C26" s="3251"/>
      <c r="D26" s="3042"/>
      <c r="E26" s="878" t="s">
        <v>4044</v>
      </c>
      <c r="F26" s="857"/>
      <c r="G26" s="857" t="s">
        <v>4018</v>
      </c>
      <c r="H26" s="1107"/>
      <c r="I26" s="857" t="s">
        <v>4019</v>
      </c>
      <c r="J26" s="857" t="s">
        <v>4018</v>
      </c>
      <c r="K26" s="858">
        <v>1</v>
      </c>
      <c r="L26" s="854">
        <v>1</v>
      </c>
      <c r="M26" s="853">
        <v>0</v>
      </c>
      <c r="N26" s="2209">
        <f>(M26/K26)*L26</f>
        <v>0</v>
      </c>
      <c r="O26" s="3253"/>
      <c r="P26" s="1081">
        <v>189890673</v>
      </c>
      <c r="Q26" s="853">
        <v>189890673</v>
      </c>
      <c r="R26" s="853">
        <v>0</v>
      </c>
      <c r="S26" s="853">
        <v>0</v>
      </c>
      <c r="T26" s="886">
        <f t="shared" si="2"/>
        <v>0</v>
      </c>
      <c r="U26" s="886">
        <f t="shared" si="2"/>
        <v>0</v>
      </c>
      <c r="V26" s="857"/>
      <c r="W26" s="857"/>
      <c r="X26" s="857" t="s">
        <v>4020</v>
      </c>
      <c r="Y26" s="858" t="s">
        <v>4021</v>
      </c>
    </row>
    <row r="27" spans="1:25">
      <c r="A27" s="3076">
        <v>4162</v>
      </c>
      <c r="B27" s="852"/>
      <c r="C27" s="3251" t="s">
        <v>123</v>
      </c>
      <c r="D27" s="3042" t="s">
        <v>4045</v>
      </c>
      <c r="E27" s="878" t="s">
        <v>4046</v>
      </c>
      <c r="F27" s="857"/>
      <c r="G27" s="857"/>
      <c r="H27" s="858"/>
      <c r="I27" s="857"/>
      <c r="J27" s="857"/>
      <c r="K27" s="858"/>
      <c r="L27" s="854">
        <f>SUM(L28)</f>
        <v>1</v>
      </c>
      <c r="M27" s="853">
        <f>M28</f>
        <v>0</v>
      </c>
      <c r="N27" s="2209">
        <f>N28</f>
        <v>0</v>
      </c>
      <c r="O27" s="3253">
        <f>IF(Q27&gt;0,N27,"na")</f>
        <v>0</v>
      </c>
      <c r="P27" s="1081">
        <f>SUM(P28)</f>
        <v>162906326</v>
      </c>
      <c r="Q27" s="1081">
        <f t="shared" ref="Q27:S27" si="9">SUM(Q28)</f>
        <v>162906326</v>
      </c>
      <c r="R27" s="1081">
        <f t="shared" si="9"/>
        <v>0</v>
      </c>
      <c r="S27" s="1081">
        <f t="shared" si="9"/>
        <v>0</v>
      </c>
      <c r="T27" s="886">
        <f t="shared" si="2"/>
        <v>0</v>
      </c>
      <c r="U27" s="886">
        <f t="shared" si="2"/>
        <v>0</v>
      </c>
      <c r="V27" s="857"/>
      <c r="W27" s="857"/>
      <c r="X27" s="857"/>
      <c r="Y27" s="858"/>
    </row>
    <row r="28" spans="1:25" ht="92.4">
      <c r="A28" s="3076"/>
      <c r="B28" s="852"/>
      <c r="C28" s="3251"/>
      <c r="D28" s="3042"/>
      <c r="E28" s="878" t="s">
        <v>4047</v>
      </c>
      <c r="F28" s="857"/>
      <c r="G28" s="857" t="s">
        <v>4018</v>
      </c>
      <c r="H28" s="1107"/>
      <c r="I28" s="857" t="s">
        <v>4019</v>
      </c>
      <c r="J28" s="857" t="s">
        <v>4018</v>
      </c>
      <c r="K28" s="858">
        <v>1</v>
      </c>
      <c r="L28" s="854">
        <v>1</v>
      </c>
      <c r="M28" s="853">
        <v>0</v>
      </c>
      <c r="N28" s="2209">
        <f>(M28/K28)*L28</f>
        <v>0</v>
      </c>
      <c r="O28" s="3253"/>
      <c r="P28" s="1081">
        <v>162906326</v>
      </c>
      <c r="Q28" s="853">
        <v>162906326</v>
      </c>
      <c r="R28" s="853">
        <v>0</v>
      </c>
      <c r="S28" s="853">
        <v>0</v>
      </c>
      <c r="T28" s="886">
        <f t="shared" si="2"/>
        <v>0</v>
      </c>
      <c r="U28" s="886">
        <f t="shared" si="2"/>
        <v>0</v>
      </c>
      <c r="V28" s="857"/>
      <c r="W28" s="857"/>
      <c r="X28" s="857" t="s">
        <v>4020</v>
      </c>
      <c r="Y28" s="858" t="s">
        <v>4021</v>
      </c>
    </row>
    <row r="29" spans="1:25">
      <c r="A29" s="3076">
        <v>4162</v>
      </c>
      <c r="B29" s="852"/>
      <c r="C29" s="3251" t="s">
        <v>123</v>
      </c>
      <c r="D29" s="3042" t="s">
        <v>4048</v>
      </c>
      <c r="E29" s="878" t="s">
        <v>4049</v>
      </c>
      <c r="F29" s="857"/>
      <c r="G29" s="857"/>
      <c r="H29" s="858"/>
      <c r="I29" s="857"/>
      <c r="J29" s="857"/>
      <c r="K29" s="858"/>
      <c r="L29" s="854">
        <f>SUM(L30)</f>
        <v>1</v>
      </c>
      <c r="M29" s="853">
        <f>M30</f>
        <v>0</v>
      </c>
      <c r="N29" s="2209">
        <f>N30</f>
        <v>0</v>
      </c>
      <c r="O29" s="3253">
        <f>IF(Q29&gt;0,N29,"na")</f>
        <v>0</v>
      </c>
      <c r="P29" s="1081">
        <f>SUM(P30)</f>
        <v>371300445</v>
      </c>
      <c r="Q29" s="1081">
        <f t="shared" ref="Q29:S29" si="10">SUM(Q30)</f>
        <v>371300445</v>
      </c>
      <c r="R29" s="1081">
        <f t="shared" si="10"/>
        <v>0</v>
      </c>
      <c r="S29" s="1081">
        <f t="shared" si="10"/>
        <v>0</v>
      </c>
      <c r="T29" s="886">
        <f t="shared" ref="T29:U91" si="11">+IF(Q29=0,0,R29/Q29)</f>
        <v>0</v>
      </c>
      <c r="U29" s="886">
        <f t="shared" si="11"/>
        <v>0</v>
      </c>
      <c r="V29" s="857"/>
      <c r="W29" s="857"/>
      <c r="X29" s="857"/>
      <c r="Y29" s="858"/>
    </row>
    <row r="30" spans="1:25" ht="92.4">
      <c r="A30" s="3076"/>
      <c r="B30" s="852"/>
      <c r="C30" s="3251"/>
      <c r="D30" s="3042"/>
      <c r="E30" s="878" t="s">
        <v>4050</v>
      </c>
      <c r="F30" s="857"/>
      <c r="G30" s="857" t="s">
        <v>4018</v>
      </c>
      <c r="H30" s="1107"/>
      <c r="I30" s="857" t="s">
        <v>4019</v>
      </c>
      <c r="J30" s="857" t="s">
        <v>4018</v>
      </c>
      <c r="K30" s="858">
        <v>1</v>
      </c>
      <c r="L30" s="854">
        <v>1</v>
      </c>
      <c r="M30" s="853">
        <v>0</v>
      </c>
      <c r="N30" s="2209">
        <f>(M30/K30)*L30</f>
        <v>0</v>
      </c>
      <c r="O30" s="3253"/>
      <c r="P30" s="1081">
        <v>371300445</v>
      </c>
      <c r="Q30" s="853">
        <v>371300445</v>
      </c>
      <c r="R30" s="853">
        <v>0</v>
      </c>
      <c r="S30" s="853">
        <v>0</v>
      </c>
      <c r="T30" s="886">
        <f t="shared" si="11"/>
        <v>0</v>
      </c>
      <c r="U30" s="886">
        <f t="shared" si="11"/>
        <v>0</v>
      </c>
      <c r="V30" s="857"/>
      <c r="W30" s="857"/>
      <c r="X30" s="857" t="s">
        <v>4020</v>
      </c>
      <c r="Y30" s="858" t="s">
        <v>4021</v>
      </c>
    </row>
    <row r="31" spans="1:25">
      <c r="A31" s="3076">
        <v>4162</v>
      </c>
      <c r="B31" s="852"/>
      <c r="C31" s="3251" t="s">
        <v>123</v>
      </c>
      <c r="D31" s="3042" t="s">
        <v>4051</v>
      </c>
      <c r="E31" s="878" t="s">
        <v>4052</v>
      </c>
      <c r="F31" s="857"/>
      <c r="G31" s="857"/>
      <c r="H31" s="858"/>
      <c r="I31" s="857"/>
      <c r="J31" s="857"/>
      <c r="K31" s="858"/>
      <c r="L31" s="854">
        <f>SUM(L32)</f>
        <v>1</v>
      </c>
      <c r="M31" s="853">
        <f>M32</f>
        <v>0</v>
      </c>
      <c r="N31" s="2209">
        <f>N32</f>
        <v>0</v>
      </c>
      <c r="O31" s="3253">
        <f>IF(Q31&gt;0,N31,"na")</f>
        <v>0</v>
      </c>
      <c r="P31" s="1081">
        <f>SUM(P32)</f>
        <v>103849457</v>
      </c>
      <c r="Q31" s="1081">
        <f t="shared" ref="Q31:S31" si="12">SUM(Q32)</f>
        <v>103849457</v>
      </c>
      <c r="R31" s="1081">
        <f t="shared" si="12"/>
        <v>0</v>
      </c>
      <c r="S31" s="1081">
        <f t="shared" si="12"/>
        <v>0</v>
      </c>
      <c r="T31" s="886">
        <f t="shared" si="11"/>
        <v>0</v>
      </c>
      <c r="U31" s="886">
        <f t="shared" si="11"/>
        <v>0</v>
      </c>
      <c r="V31" s="857"/>
      <c r="W31" s="857"/>
      <c r="X31" s="857"/>
      <c r="Y31" s="858"/>
    </row>
    <row r="32" spans="1:25" ht="92.4">
      <c r="A32" s="3076"/>
      <c r="B32" s="852"/>
      <c r="C32" s="3251"/>
      <c r="D32" s="3042"/>
      <c r="E32" s="878" t="s">
        <v>4053</v>
      </c>
      <c r="F32" s="857"/>
      <c r="G32" s="857" t="s">
        <v>4018</v>
      </c>
      <c r="H32" s="1107"/>
      <c r="I32" s="857" t="s">
        <v>4019</v>
      </c>
      <c r="J32" s="857" t="s">
        <v>4018</v>
      </c>
      <c r="K32" s="858">
        <v>1</v>
      </c>
      <c r="L32" s="854">
        <v>1</v>
      </c>
      <c r="M32" s="853">
        <v>0</v>
      </c>
      <c r="N32" s="2209">
        <f>(M32/K32)*L32</f>
        <v>0</v>
      </c>
      <c r="O32" s="3253"/>
      <c r="P32" s="1081">
        <v>103849457</v>
      </c>
      <c r="Q32" s="853">
        <v>103849457</v>
      </c>
      <c r="R32" s="853">
        <v>0</v>
      </c>
      <c r="S32" s="853">
        <v>0</v>
      </c>
      <c r="T32" s="886">
        <f t="shared" si="11"/>
        <v>0</v>
      </c>
      <c r="U32" s="886">
        <f t="shared" si="11"/>
        <v>0</v>
      </c>
      <c r="V32" s="857"/>
      <c r="W32" s="857"/>
      <c r="X32" s="857" t="s">
        <v>4020</v>
      </c>
      <c r="Y32" s="858" t="s">
        <v>4021</v>
      </c>
    </row>
    <row r="33" spans="1:25">
      <c r="A33" s="844"/>
      <c r="B33" s="851">
        <v>51030010007</v>
      </c>
      <c r="C33" s="851" t="s">
        <v>117</v>
      </c>
      <c r="D33" s="846" t="s">
        <v>4054</v>
      </c>
      <c r="E33" s="845"/>
      <c r="F33" s="845"/>
      <c r="G33" s="845"/>
      <c r="H33" s="844"/>
      <c r="I33" s="846"/>
      <c r="J33" s="846"/>
      <c r="K33" s="844"/>
      <c r="L33" s="854"/>
      <c r="M33" s="857"/>
      <c r="N33" s="2209"/>
      <c r="O33" s="886"/>
      <c r="P33" s="1081"/>
      <c r="Q33" s="853"/>
      <c r="R33" s="853"/>
      <c r="S33" s="853"/>
      <c r="T33" s="886"/>
      <c r="U33" s="886"/>
      <c r="V33" s="857"/>
      <c r="W33" s="857"/>
      <c r="X33" s="857"/>
      <c r="Y33" s="858"/>
    </row>
    <row r="34" spans="1:25">
      <c r="A34" s="3076">
        <v>4162</v>
      </c>
      <c r="B34" s="852"/>
      <c r="C34" s="3251" t="s">
        <v>123</v>
      </c>
      <c r="D34" s="3042" t="s">
        <v>4055</v>
      </c>
      <c r="E34" s="878" t="s">
        <v>4056</v>
      </c>
      <c r="F34" s="878"/>
      <c r="G34" s="878"/>
      <c r="H34" s="858"/>
      <c r="I34" s="857"/>
      <c r="J34" s="857"/>
      <c r="K34" s="858"/>
      <c r="L34" s="854">
        <f>SUM(L35:L37)</f>
        <v>1</v>
      </c>
      <c r="M34" s="853">
        <f>SUM(M35:M37)</f>
        <v>0</v>
      </c>
      <c r="N34" s="2209">
        <f>SUM(N35:N37)</f>
        <v>0</v>
      </c>
      <c r="O34" s="3253">
        <f>IF(Q34&gt;0,N34,"na")</f>
        <v>0</v>
      </c>
      <c r="P34" s="1081">
        <f>SUM(P35:P37)</f>
        <v>199216000</v>
      </c>
      <c r="Q34" s="1081">
        <f t="shared" ref="Q34:S34" si="13">SUM(Q35:Q37)</f>
        <v>199216000</v>
      </c>
      <c r="R34" s="1081">
        <f t="shared" si="13"/>
        <v>0</v>
      </c>
      <c r="S34" s="1081">
        <f t="shared" si="13"/>
        <v>0</v>
      </c>
      <c r="T34" s="886">
        <f t="shared" si="11"/>
        <v>0</v>
      </c>
      <c r="U34" s="886">
        <f t="shared" si="11"/>
        <v>0</v>
      </c>
      <c r="V34" s="857"/>
      <c r="W34" s="857"/>
      <c r="X34" s="857"/>
      <c r="Y34" s="858"/>
    </row>
    <row r="35" spans="1:25" ht="66">
      <c r="A35" s="3076"/>
      <c r="B35" s="852"/>
      <c r="C35" s="3251"/>
      <c r="D35" s="3042"/>
      <c r="E35" s="878" t="s">
        <v>4057</v>
      </c>
      <c r="F35" s="878"/>
      <c r="G35" s="3042" t="s">
        <v>4058</v>
      </c>
      <c r="H35" s="1107"/>
      <c r="I35" s="857" t="s">
        <v>4059</v>
      </c>
      <c r="J35" s="857" t="s">
        <v>4060</v>
      </c>
      <c r="K35" s="858">
        <v>1</v>
      </c>
      <c r="L35" s="854">
        <v>0.42</v>
      </c>
      <c r="M35" s="853">
        <v>0</v>
      </c>
      <c r="N35" s="2209">
        <f>(M35/K35)*L35</f>
        <v>0</v>
      </c>
      <c r="O35" s="3253"/>
      <c r="P35" s="1081">
        <v>83557333</v>
      </c>
      <c r="Q35" s="853">
        <v>83557333</v>
      </c>
      <c r="R35" s="853">
        <v>0</v>
      </c>
      <c r="S35" s="853">
        <v>0</v>
      </c>
      <c r="T35" s="886">
        <f t="shared" si="11"/>
        <v>0</v>
      </c>
      <c r="U35" s="886">
        <f t="shared" si="11"/>
        <v>0</v>
      </c>
      <c r="V35" s="857"/>
      <c r="W35" s="857"/>
      <c r="X35" s="857" t="s">
        <v>4061</v>
      </c>
      <c r="Y35" s="3076" t="s">
        <v>4021</v>
      </c>
    </row>
    <row r="36" spans="1:25" ht="39.6">
      <c r="A36" s="3076"/>
      <c r="B36" s="852"/>
      <c r="C36" s="3251"/>
      <c r="D36" s="3042"/>
      <c r="E36" s="878" t="s">
        <v>4062</v>
      </c>
      <c r="F36" s="878"/>
      <c r="G36" s="3042"/>
      <c r="H36" s="1107"/>
      <c r="I36" s="857" t="s">
        <v>4063</v>
      </c>
      <c r="J36" s="857" t="s">
        <v>4064</v>
      </c>
      <c r="K36" s="858">
        <v>1</v>
      </c>
      <c r="L36" s="854">
        <v>0.28999999999999998</v>
      </c>
      <c r="M36" s="853">
        <v>0</v>
      </c>
      <c r="N36" s="2209">
        <f>(M36/K36)*L36</f>
        <v>0</v>
      </c>
      <c r="O36" s="3253"/>
      <c r="P36" s="1081">
        <v>57829333</v>
      </c>
      <c r="Q36" s="853">
        <v>57829333</v>
      </c>
      <c r="R36" s="853">
        <v>0</v>
      </c>
      <c r="S36" s="853">
        <v>0</v>
      </c>
      <c r="T36" s="886">
        <f t="shared" si="11"/>
        <v>0</v>
      </c>
      <c r="U36" s="886">
        <f t="shared" si="11"/>
        <v>0</v>
      </c>
      <c r="V36" s="857"/>
      <c r="W36" s="857"/>
      <c r="X36" s="857" t="s">
        <v>4061</v>
      </c>
      <c r="Y36" s="3076"/>
    </row>
    <row r="37" spans="1:25" ht="39.6">
      <c r="A37" s="3076"/>
      <c r="B37" s="852"/>
      <c r="C37" s="3251"/>
      <c r="D37" s="3042"/>
      <c r="E37" s="878" t="s">
        <v>4065</v>
      </c>
      <c r="F37" s="878"/>
      <c r="G37" s="878"/>
      <c r="H37" s="858"/>
      <c r="I37" s="857" t="s">
        <v>4066</v>
      </c>
      <c r="J37" s="857" t="s">
        <v>4067</v>
      </c>
      <c r="K37" s="858">
        <v>5</v>
      </c>
      <c r="L37" s="854">
        <v>0.28999999999999998</v>
      </c>
      <c r="M37" s="853">
        <v>0</v>
      </c>
      <c r="N37" s="2209">
        <f>(M37/K37)*L37</f>
        <v>0</v>
      </c>
      <c r="O37" s="3253"/>
      <c r="P37" s="1081">
        <v>57829334</v>
      </c>
      <c r="Q37" s="853">
        <v>57829334</v>
      </c>
      <c r="R37" s="853">
        <v>0</v>
      </c>
      <c r="S37" s="853">
        <v>0</v>
      </c>
      <c r="T37" s="886">
        <f t="shared" si="11"/>
        <v>0</v>
      </c>
      <c r="U37" s="886">
        <f t="shared" si="11"/>
        <v>0</v>
      </c>
      <c r="V37" s="857"/>
      <c r="W37" s="857"/>
      <c r="X37" s="1182" t="s">
        <v>4061</v>
      </c>
      <c r="Y37" s="3076"/>
    </row>
    <row r="38" spans="1:25" ht="15.6">
      <c r="A38" s="837"/>
      <c r="B38" s="2205">
        <v>52</v>
      </c>
      <c r="C38" s="2205" t="s">
        <v>114</v>
      </c>
      <c r="D38" s="2206" t="s">
        <v>162</v>
      </c>
      <c r="E38" s="838"/>
      <c r="F38" s="838"/>
      <c r="G38" s="838"/>
      <c r="H38" s="837"/>
      <c r="I38" s="839"/>
      <c r="J38" s="839"/>
      <c r="K38" s="837"/>
      <c r="L38" s="854"/>
      <c r="M38" s="853"/>
      <c r="N38" s="2209"/>
      <c r="O38" s="2210"/>
      <c r="P38" s="1081"/>
      <c r="Q38" s="853"/>
      <c r="R38" s="853"/>
      <c r="S38" s="853"/>
      <c r="T38" s="886"/>
      <c r="U38" s="886"/>
      <c r="V38" s="857"/>
      <c r="W38" s="857"/>
      <c r="X38" s="857"/>
      <c r="Y38" s="858"/>
    </row>
    <row r="39" spans="1:25" ht="15.6">
      <c r="A39" s="837"/>
      <c r="B39" s="2205">
        <v>5202</v>
      </c>
      <c r="C39" s="837" t="s">
        <v>115</v>
      </c>
      <c r="D39" s="839" t="s">
        <v>1390</v>
      </c>
      <c r="E39" s="838"/>
      <c r="F39" s="838"/>
      <c r="G39" s="838"/>
      <c r="H39" s="837"/>
      <c r="I39" s="839"/>
      <c r="J39" s="839"/>
      <c r="K39" s="837"/>
      <c r="L39" s="854"/>
      <c r="M39" s="853"/>
      <c r="N39" s="2209"/>
      <c r="O39" s="2210"/>
      <c r="P39" s="1081"/>
      <c r="Q39" s="853"/>
      <c r="R39" s="853"/>
      <c r="S39" s="853"/>
      <c r="T39" s="886"/>
      <c r="U39" s="886"/>
      <c r="V39" s="857"/>
      <c r="W39" s="857"/>
      <c r="X39" s="857"/>
      <c r="Y39" s="858"/>
    </row>
    <row r="40" spans="1:25">
      <c r="A40" s="873"/>
      <c r="B40" s="2207">
        <v>5202001</v>
      </c>
      <c r="C40" s="2207" t="s">
        <v>116</v>
      </c>
      <c r="D40" s="872" t="s">
        <v>1748</v>
      </c>
      <c r="E40" s="874"/>
      <c r="F40" s="874"/>
      <c r="G40" s="874"/>
      <c r="H40" s="873"/>
      <c r="I40" s="872"/>
      <c r="J40" s="872"/>
      <c r="K40" s="873"/>
      <c r="L40" s="854"/>
      <c r="M40" s="853"/>
      <c r="N40" s="2209"/>
      <c r="O40" s="2209"/>
      <c r="P40" s="1081"/>
      <c r="Q40" s="853"/>
      <c r="R40" s="853"/>
      <c r="S40" s="853"/>
      <c r="T40" s="886"/>
      <c r="U40" s="886"/>
      <c r="V40" s="857"/>
      <c r="W40" s="857"/>
      <c r="X40" s="857"/>
      <c r="Y40" s="858"/>
    </row>
    <row r="41" spans="1:25" ht="27.6">
      <c r="A41" s="844"/>
      <c r="B41" s="851">
        <v>52020010007</v>
      </c>
      <c r="C41" s="851" t="s">
        <v>117</v>
      </c>
      <c r="D41" s="846" t="s">
        <v>4068</v>
      </c>
      <c r="E41" s="845"/>
      <c r="F41" s="845"/>
      <c r="G41" s="845"/>
      <c r="H41" s="844"/>
      <c r="I41" s="846"/>
      <c r="J41" s="846"/>
      <c r="K41" s="844"/>
      <c r="L41" s="854"/>
      <c r="M41" s="853"/>
      <c r="N41" s="2209"/>
      <c r="O41" s="2210"/>
      <c r="P41" s="1081"/>
      <c r="Q41" s="853"/>
      <c r="R41" s="853"/>
      <c r="S41" s="853"/>
      <c r="T41" s="886"/>
      <c r="U41" s="886"/>
      <c r="V41" s="857"/>
      <c r="W41" s="857"/>
      <c r="X41" s="857"/>
      <c r="Y41" s="858"/>
    </row>
    <row r="42" spans="1:25">
      <c r="A42" s="3076">
        <v>4162</v>
      </c>
      <c r="B42" s="852"/>
      <c r="C42" s="3251" t="s">
        <v>123</v>
      </c>
      <c r="D42" s="3042" t="s">
        <v>4069</v>
      </c>
      <c r="E42" s="878" t="s">
        <v>4070</v>
      </c>
      <c r="F42" s="878"/>
      <c r="G42" s="878"/>
      <c r="H42" s="858"/>
      <c r="I42" s="857"/>
      <c r="J42" s="857"/>
      <c r="K42" s="858"/>
      <c r="L42" s="854">
        <f>SUM(L43)</f>
        <v>1</v>
      </c>
      <c r="M42" s="853">
        <f>M43</f>
        <v>0</v>
      </c>
      <c r="N42" s="2209">
        <f>N43</f>
        <v>0</v>
      </c>
      <c r="O42" s="3253">
        <f>IF(Q42&gt;0,N42,"na")</f>
        <v>0</v>
      </c>
      <c r="P42" s="1081">
        <f>SUM(P43)</f>
        <v>819480000</v>
      </c>
      <c r="Q42" s="1081">
        <f t="shared" ref="Q42:S42" si="14">SUM(Q43)</f>
        <v>819480000</v>
      </c>
      <c r="R42" s="1081">
        <f t="shared" si="14"/>
        <v>81386000</v>
      </c>
      <c r="S42" s="1081">
        <f t="shared" si="14"/>
        <v>33276000</v>
      </c>
      <c r="T42" s="886">
        <f t="shared" si="11"/>
        <v>9.93141992483038E-2</v>
      </c>
      <c r="U42" s="886">
        <f t="shared" si="11"/>
        <v>0.40886638979677092</v>
      </c>
      <c r="V42" s="857"/>
      <c r="W42" s="857"/>
      <c r="X42" s="857"/>
      <c r="Y42" s="858"/>
    </row>
    <row r="43" spans="1:25" ht="92.4">
      <c r="A43" s="3076"/>
      <c r="B43" s="852"/>
      <c r="C43" s="3251"/>
      <c r="D43" s="3042"/>
      <c r="E43" s="878" t="s">
        <v>4071</v>
      </c>
      <c r="F43" s="878"/>
      <c r="G43" s="878" t="s">
        <v>4068</v>
      </c>
      <c r="H43" s="1107"/>
      <c r="I43" s="857" t="s">
        <v>4072</v>
      </c>
      <c r="J43" s="857" t="s">
        <v>4073</v>
      </c>
      <c r="K43" s="858">
        <v>400</v>
      </c>
      <c r="L43" s="854">
        <v>1</v>
      </c>
      <c r="M43" s="853">
        <v>0</v>
      </c>
      <c r="N43" s="2209">
        <f>(M43/K43)*L43</f>
        <v>0</v>
      </c>
      <c r="O43" s="3253"/>
      <c r="P43" s="1081">
        <v>819480000</v>
      </c>
      <c r="Q43" s="853">
        <v>819480000</v>
      </c>
      <c r="R43" s="853">
        <v>81386000</v>
      </c>
      <c r="S43" s="853">
        <v>33276000</v>
      </c>
      <c r="T43" s="886">
        <f t="shared" si="11"/>
        <v>9.93141992483038E-2</v>
      </c>
      <c r="U43" s="886">
        <f t="shared" si="11"/>
        <v>0.40886638979677092</v>
      </c>
      <c r="V43" s="856">
        <v>45335</v>
      </c>
      <c r="W43" s="856">
        <v>45657</v>
      </c>
      <c r="X43" s="857" t="s">
        <v>4074</v>
      </c>
      <c r="Y43" s="858" t="s">
        <v>4021</v>
      </c>
    </row>
    <row r="44" spans="1:25" ht="27.6">
      <c r="A44" s="873"/>
      <c r="B44" s="2207">
        <v>5202002</v>
      </c>
      <c r="C44" s="2207" t="s">
        <v>116</v>
      </c>
      <c r="D44" s="872" t="s">
        <v>1760</v>
      </c>
      <c r="E44" s="874"/>
      <c r="F44" s="874"/>
      <c r="G44" s="874"/>
      <c r="H44" s="873"/>
      <c r="I44" s="872"/>
      <c r="J44" s="872"/>
      <c r="K44" s="873"/>
      <c r="L44" s="854"/>
      <c r="M44" s="853"/>
      <c r="N44" s="2209"/>
      <c r="O44" s="2210"/>
      <c r="P44" s="1081"/>
      <c r="Q44" s="853"/>
      <c r="R44" s="853"/>
      <c r="S44" s="853"/>
      <c r="T44" s="886"/>
      <c r="U44" s="886"/>
      <c r="V44" s="857"/>
      <c r="W44" s="857"/>
      <c r="X44" s="857"/>
      <c r="Y44" s="858"/>
    </row>
    <row r="45" spans="1:25" ht="27.6">
      <c r="A45" s="846"/>
      <c r="B45" s="851">
        <v>52020020001</v>
      </c>
      <c r="C45" s="851" t="s">
        <v>117</v>
      </c>
      <c r="D45" s="846" t="s">
        <v>4075</v>
      </c>
      <c r="E45" s="845"/>
      <c r="F45" s="846"/>
      <c r="G45" s="846"/>
      <c r="H45" s="844"/>
      <c r="I45" s="846"/>
      <c r="J45" s="846"/>
      <c r="K45" s="844"/>
      <c r="L45" s="854"/>
      <c r="M45" s="857"/>
      <c r="N45" s="2209"/>
      <c r="O45" s="886"/>
      <c r="P45" s="1081"/>
      <c r="Q45" s="853"/>
      <c r="R45" s="853"/>
      <c r="S45" s="853"/>
      <c r="T45" s="886"/>
      <c r="U45" s="886"/>
      <c r="V45" s="857"/>
      <c r="W45" s="857"/>
      <c r="X45" s="857"/>
      <c r="Y45" s="858"/>
    </row>
    <row r="46" spans="1:25">
      <c r="A46" s="3076">
        <v>4162</v>
      </c>
      <c r="B46" s="852"/>
      <c r="C46" s="3251" t="s">
        <v>123</v>
      </c>
      <c r="D46" s="3042" t="s">
        <v>4076</v>
      </c>
      <c r="E46" s="878" t="s">
        <v>4077</v>
      </c>
      <c r="F46" s="857"/>
      <c r="G46" s="857"/>
      <c r="H46" s="858"/>
      <c r="I46" s="857"/>
      <c r="J46" s="857"/>
      <c r="K46" s="858"/>
      <c r="L46" s="854">
        <f>SUM(L47)</f>
        <v>1</v>
      </c>
      <c r="M46" s="853">
        <f>M47</f>
        <v>0</v>
      </c>
      <c r="N46" s="2209">
        <f>N47</f>
        <v>0</v>
      </c>
      <c r="O46" s="3253">
        <f>IF(Q46&gt;0,N46,"na")</f>
        <v>0</v>
      </c>
      <c r="P46" s="1081">
        <f>SUM(P47)</f>
        <v>448696000</v>
      </c>
      <c r="Q46" s="1081">
        <f t="shared" ref="Q46:S46" si="15">SUM(Q47)</f>
        <v>448696000</v>
      </c>
      <c r="R46" s="1081">
        <f t="shared" si="15"/>
        <v>46397000</v>
      </c>
      <c r="S46" s="1081">
        <f t="shared" si="15"/>
        <v>4196000</v>
      </c>
      <c r="T46" s="886">
        <f t="shared" si="11"/>
        <v>0.10340408650846007</v>
      </c>
      <c r="U46" s="886">
        <f t="shared" si="11"/>
        <v>9.0436881694937174E-2</v>
      </c>
      <c r="V46" s="857"/>
      <c r="W46" s="857"/>
      <c r="X46" s="857"/>
      <c r="Y46" s="858"/>
    </row>
    <row r="47" spans="1:25" ht="118.8">
      <c r="A47" s="3076"/>
      <c r="B47" s="852"/>
      <c r="C47" s="3251"/>
      <c r="D47" s="3042"/>
      <c r="E47" s="878" t="s">
        <v>4078</v>
      </c>
      <c r="F47" s="857"/>
      <c r="G47" s="857" t="s">
        <v>4075</v>
      </c>
      <c r="H47" s="1107"/>
      <c r="I47" s="857" t="s">
        <v>4079</v>
      </c>
      <c r="J47" s="857" t="s">
        <v>4073</v>
      </c>
      <c r="K47" s="858">
        <v>500</v>
      </c>
      <c r="L47" s="854">
        <v>1</v>
      </c>
      <c r="M47" s="853">
        <v>0</v>
      </c>
      <c r="N47" s="2209">
        <f>(M47/K47)*L47</f>
        <v>0</v>
      </c>
      <c r="O47" s="3253"/>
      <c r="P47" s="1081">
        <v>448696000</v>
      </c>
      <c r="Q47" s="853">
        <v>448696000</v>
      </c>
      <c r="R47" s="853">
        <v>46397000</v>
      </c>
      <c r="S47" s="853">
        <v>4196000</v>
      </c>
      <c r="T47" s="886">
        <f t="shared" si="11"/>
        <v>0.10340408650846007</v>
      </c>
      <c r="U47" s="886">
        <f t="shared" si="11"/>
        <v>9.0436881694937174E-2</v>
      </c>
      <c r="V47" s="856">
        <v>45336</v>
      </c>
      <c r="W47" s="856">
        <v>45657</v>
      </c>
      <c r="X47" s="857" t="s">
        <v>4080</v>
      </c>
      <c r="Y47" s="858" t="s">
        <v>4021</v>
      </c>
    </row>
    <row r="48" spans="1:25" ht="55.2">
      <c r="A48" s="846"/>
      <c r="B48" s="851">
        <v>52020020008</v>
      </c>
      <c r="C48" s="851" t="s">
        <v>117</v>
      </c>
      <c r="D48" s="846" t="s">
        <v>4081</v>
      </c>
      <c r="E48" s="845"/>
      <c r="F48" s="846"/>
      <c r="G48" s="846"/>
      <c r="H48" s="844"/>
      <c r="I48" s="846"/>
      <c r="J48" s="846"/>
      <c r="K48" s="844"/>
      <c r="L48" s="854"/>
      <c r="M48" s="857"/>
      <c r="N48" s="2209"/>
      <c r="O48" s="886"/>
      <c r="P48" s="1081"/>
      <c r="Q48" s="853"/>
      <c r="R48" s="853"/>
      <c r="S48" s="853"/>
      <c r="T48" s="886"/>
      <c r="U48" s="886"/>
      <c r="V48" s="857"/>
      <c r="W48" s="857"/>
      <c r="X48" s="857"/>
      <c r="Y48" s="858"/>
    </row>
    <row r="49" spans="1:25">
      <c r="A49" s="3076">
        <v>4162</v>
      </c>
      <c r="B49" s="852"/>
      <c r="C49" s="3251" t="s">
        <v>123</v>
      </c>
      <c r="D49" s="3042" t="s">
        <v>4082</v>
      </c>
      <c r="E49" s="878" t="s">
        <v>4083</v>
      </c>
      <c r="F49" s="857"/>
      <c r="G49" s="857"/>
      <c r="H49" s="858"/>
      <c r="I49" s="857"/>
      <c r="J49" s="857"/>
      <c r="K49" s="858"/>
      <c r="L49" s="854">
        <f>SUM(L50:L52)</f>
        <v>1</v>
      </c>
      <c r="M49" s="853">
        <f>SUM(M50:M52)</f>
        <v>420</v>
      </c>
      <c r="N49" s="2209">
        <f>SUM(N50:N52)</f>
        <v>0.126</v>
      </c>
      <c r="O49" s="3253">
        <f>IF(Q49&gt;0,N49,"na")</f>
        <v>0.126</v>
      </c>
      <c r="P49" s="1081">
        <f>SUM(P50:P52)</f>
        <v>6770096000</v>
      </c>
      <c r="Q49" s="1081">
        <f t="shared" ref="Q49:S49" si="16">SUM(Q50:Q52)</f>
        <v>6964892044</v>
      </c>
      <c r="R49" s="1081">
        <f t="shared" si="16"/>
        <v>607470000</v>
      </c>
      <c r="S49" s="1081">
        <f t="shared" si="16"/>
        <v>177454000</v>
      </c>
      <c r="T49" s="886">
        <f t="shared" si="11"/>
        <v>8.7218868025860249E-2</v>
      </c>
      <c r="U49" s="886">
        <f t="shared" si="11"/>
        <v>0.29211977546216272</v>
      </c>
      <c r="V49" s="857"/>
      <c r="W49" s="857"/>
      <c r="X49" s="857"/>
      <c r="Y49" s="858"/>
    </row>
    <row r="50" spans="1:25" ht="92.4">
      <c r="A50" s="3076"/>
      <c r="B50" s="852"/>
      <c r="C50" s="3251"/>
      <c r="D50" s="3042"/>
      <c r="E50" s="878" t="s">
        <v>4084</v>
      </c>
      <c r="F50" s="857"/>
      <c r="G50" s="3042" t="s">
        <v>4085</v>
      </c>
      <c r="H50" s="1107"/>
      <c r="I50" s="857" t="s">
        <v>4086</v>
      </c>
      <c r="J50" s="857" t="s">
        <v>4087</v>
      </c>
      <c r="K50" s="858">
        <v>2000</v>
      </c>
      <c r="L50" s="854">
        <v>0.6</v>
      </c>
      <c r="M50" s="853">
        <v>420</v>
      </c>
      <c r="N50" s="2209">
        <f>(M50/K50)*L50</f>
        <v>0.126</v>
      </c>
      <c r="O50" s="3253"/>
      <c r="P50" s="1081">
        <v>4049952800</v>
      </c>
      <c r="Q50" s="1081">
        <v>4244748844</v>
      </c>
      <c r="R50" s="853">
        <v>483996000</v>
      </c>
      <c r="S50" s="853">
        <v>115180000</v>
      </c>
      <c r="T50" s="886">
        <f t="shared" si="11"/>
        <v>0.11402229384764043</v>
      </c>
      <c r="U50" s="886">
        <f t="shared" si="11"/>
        <v>0.23797717336506913</v>
      </c>
      <c r="V50" s="856">
        <v>45322</v>
      </c>
      <c r="W50" s="856">
        <v>45657</v>
      </c>
      <c r="X50" s="857" t="s">
        <v>4088</v>
      </c>
      <c r="Y50" s="3076" t="s">
        <v>4021</v>
      </c>
    </row>
    <row r="51" spans="1:25" ht="66">
      <c r="A51" s="3076"/>
      <c r="B51" s="852"/>
      <c r="C51" s="3251"/>
      <c r="D51" s="3042"/>
      <c r="E51" s="878" t="s">
        <v>4089</v>
      </c>
      <c r="F51" s="878"/>
      <c r="G51" s="3042"/>
      <c r="H51" s="1107"/>
      <c r="I51" s="857" t="s">
        <v>4090</v>
      </c>
      <c r="J51" s="857" t="s">
        <v>4073</v>
      </c>
      <c r="K51" s="858">
        <v>500</v>
      </c>
      <c r="L51" s="854">
        <v>0.18</v>
      </c>
      <c r="M51" s="853">
        <v>0</v>
      </c>
      <c r="N51" s="2209">
        <f>(M51/K51)*L51</f>
        <v>0</v>
      </c>
      <c r="O51" s="3253"/>
      <c r="P51" s="1081">
        <v>1209988880</v>
      </c>
      <c r="Q51" s="1081">
        <v>1209988880</v>
      </c>
      <c r="R51" s="853">
        <v>123474000</v>
      </c>
      <c r="S51" s="853">
        <v>62274000</v>
      </c>
      <c r="T51" s="886">
        <f t="shared" si="11"/>
        <v>0.10204556590635776</v>
      </c>
      <c r="U51" s="886">
        <f t="shared" si="11"/>
        <v>0.50434909373633319</v>
      </c>
      <c r="V51" s="856">
        <v>45324</v>
      </c>
      <c r="W51" s="856">
        <v>45657</v>
      </c>
      <c r="X51" s="857" t="s">
        <v>4091</v>
      </c>
      <c r="Y51" s="3076"/>
    </row>
    <row r="52" spans="1:25" ht="66">
      <c r="A52" s="3076"/>
      <c r="B52" s="852"/>
      <c r="C52" s="3251"/>
      <c r="D52" s="3042"/>
      <c r="E52" s="878" t="s">
        <v>4092</v>
      </c>
      <c r="F52" s="878"/>
      <c r="G52" s="3042"/>
      <c r="H52" s="1107"/>
      <c r="I52" s="857" t="s">
        <v>4093</v>
      </c>
      <c r="J52" s="857" t="s">
        <v>2902</v>
      </c>
      <c r="K52" s="858">
        <v>300</v>
      </c>
      <c r="L52" s="854">
        <v>0.22</v>
      </c>
      <c r="M52" s="853">
        <v>0</v>
      </c>
      <c r="N52" s="2209">
        <f>(M52/K52)*L52</f>
        <v>0</v>
      </c>
      <c r="O52" s="3253"/>
      <c r="P52" s="1081">
        <v>1510154320</v>
      </c>
      <c r="Q52" s="1081">
        <v>1510154320</v>
      </c>
      <c r="R52" s="853">
        <v>0</v>
      </c>
      <c r="S52" s="853">
        <v>0</v>
      </c>
      <c r="T52" s="886">
        <f t="shared" si="11"/>
        <v>0</v>
      </c>
      <c r="U52" s="886">
        <f t="shared" si="11"/>
        <v>0</v>
      </c>
      <c r="V52" s="857"/>
      <c r="W52" s="857"/>
      <c r="X52" s="857" t="s">
        <v>4094</v>
      </c>
      <c r="Y52" s="3076"/>
    </row>
    <row r="53" spans="1:25">
      <c r="A53" s="3076">
        <v>4162</v>
      </c>
      <c r="B53" s="852"/>
      <c r="C53" s="3251" t="s">
        <v>123</v>
      </c>
      <c r="D53" s="3042" t="s">
        <v>4095</v>
      </c>
      <c r="E53" s="878" t="s">
        <v>4096</v>
      </c>
      <c r="F53" s="878"/>
      <c r="G53" s="878"/>
      <c r="H53" s="858"/>
      <c r="I53" s="857"/>
      <c r="J53" s="857"/>
      <c r="K53" s="858"/>
      <c r="L53" s="854">
        <f>SUM(L54)</f>
        <v>1</v>
      </c>
      <c r="M53" s="853">
        <f>M54</f>
        <v>0</v>
      </c>
      <c r="N53" s="2209">
        <f>N54</f>
        <v>0</v>
      </c>
      <c r="O53" s="3253">
        <f>IF(Q53&gt;0,N53,"na")</f>
        <v>0</v>
      </c>
      <c r="P53" s="1081">
        <f>SUM(P54)</f>
        <v>382910232</v>
      </c>
      <c r="Q53" s="1081">
        <f t="shared" ref="Q53:S53" si="17">SUM(Q54)</f>
        <v>382910232</v>
      </c>
      <c r="R53" s="1081">
        <f t="shared" si="17"/>
        <v>0</v>
      </c>
      <c r="S53" s="1081">
        <f t="shared" si="17"/>
        <v>0</v>
      </c>
      <c r="T53" s="886">
        <f t="shared" si="11"/>
        <v>0</v>
      </c>
      <c r="U53" s="886">
        <f t="shared" si="11"/>
        <v>0</v>
      </c>
      <c r="V53" s="857"/>
      <c r="W53" s="857"/>
      <c r="X53" s="857"/>
      <c r="Y53" s="858"/>
    </row>
    <row r="54" spans="1:25" ht="145.19999999999999">
      <c r="A54" s="3076"/>
      <c r="B54" s="852"/>
      <c r="C54" s="3251"/>
      <c r="D54" s="3042"/>
      <c r="E54" s="878" t="s">
        <v>4097</v>
      </c>
      <c r="F54" s="878"/>
      <c r="G54" s="878" t="s">
        <v>4085</v>
      </c>
      <c r="H54" s="1107"/>
      <c r="I54" s="857" t="s">
        <v>4098</v>
      </c>
      <c r="J54" s="857" t="s">
        <v>4087</v>
      </c>
      <c r="K54" s="858">
        <v>680</v>
      </c>
      <c r="L54" s="854">
        <v>1</v>
      </c>
      <c r="M54" s="853">
        <v>0</v>
      </c>
      <c r="N54" s="2209">
        <f>(M54/K54)*L54</f>
        <v>0</v>
      </c>
      <c r="O54" s="3253"/>
      <c r="P54" s="1081">
        <v>382910232</v>
      </c>
      <c r="Q54" s="1081">
        <v>382910232</v>
      </c>
      <c r="R54" s="853">
        <v>0</v>
      </c>
      <c r="S54" s="853">
        <v>0</v>
      </c>
      <c r="T54" s="886">
        <f t="shared" si="11"/>
        <v>0</v>
      </c>
      <c r="U54" s="886">
        <f t="shared" si="11"/>
        <v>0</v>
      </c>
      <c r="V54" s="857"/>
      <c r="W54" s="857"/>
      <c r="X54" s="857" t="s">
        <v>4020</v>
      </c>
      <c r="Y54" s="858" t="s">
        <v>4021</v>
      </c>
    </row>
    <row r="55" spans="1:25">
      <c r="A55" s="3076">
        <v>4162</v>
      </c>
      <c r="B55" s="852"/>
      <c r="C55" s="3251" t="s">
        <v>123</v>
      </c>
      <c r="D55" s="3042" t="s">
        <v>4099</v>
      </c>
      <c r="E55" s="878" t="s">
        <v>4100</v>
      </c>
      <c r="F55" s="878"/>
      <c r="G55" s="878"/>
      <c r="H55" s="858"/>
      <c r="I55" s="857"/>
      <c r="J55" s="857"/>
      <c r="K55" s="858"/>
      <c r="L55" s="854">
        <f>SUM(L56)</f>
        <v>1</v>
      </c>
      <c r="M55" s="853">
        <f>M56</f>
        <v>0</v>
      </c>
      <c r="N55" s="2209">
        <f>N56</f>
        <v>0</v>
      </c>
      <c r="O55" s="3253">
        <f>IF(Q55&gt;0,N55,"na")</f>
        <v>0</v>
      </c>
      <c r="P55" s="1081">
        <f>SUM(P56)</f>
        <v>591709474</v>
      </c>
      <c r="Q55" s="1081">
        <f t="shared" ref="Q55:S55" si="18">SUM(Q56)</f>
        <v>591709474</v>
      </c>
      <c r="R55" s="1081">
        <f t="shared" si="18"/>
        <v>0</v>
      </c>
      <c r="S55" s="1081">
        <f t="shared" si="18"/>
        <v>0</v>
      </c>
      <c r="T55" s="886">
        <f t="shared" si="11"/>
        <v>0</v>
      </c>
      <c r="U55" s="886">
        <f t="shared" si="11"/>
        <v>0</v>
      </c>
      <c r="V55" s="857"/>
      <c r="W55" s="857"/>
      <c r="X55" s="857"/>
      <c r="Y55" s="858"/>
    </row>
    <row r="56" spans="1:25" ht="145.19999999999999">
      <c r="A56" s="3076"/>
      <c r="B56" s="852"/>
      <c r="C56" s="3251"/>
      <c r="D56" s="3042"/>
      <c r="E56" s="878" t="s">
        <v>4101</v>
      </c>
      <c r="F56" s="878"/>
      <c r="G56" s="878" t="s">
        <v>4085</v>
      </c>
      <c r="H56" s="1107"/>
      <c r="I56" s="857" t="s">
        <v>4102</v>
      </c>
      <c r="J56" s="857" t="s">
        <v>4087</v>
      </c>
      <c r="K56" s="858">
        <v>1010</v>
      </c>
      <c r="L56" s="854">
        <v>1</v>
      </c>
      <c r="M56" s="853">
        <v>0</v>
      </c>
      <c r="N56" s="2209">
        <f>(M56/K56)*L56</f>
        <v>0</v>
      </c>
      <c r="O56" s="3253"/>
      <c r="P56" s="1081">
        <v>591709474</v>
      </c>
      <c r="Q56" s="853">
        <v>591709474</v>
      </c>
      <c r="R56" s="853">
        <v>0</v>
      </c>
      <c r="S56" s="853">
        <v>0</v>
      </c>
      <c r="T56" s="886">
        <f t="shared" si="11"/>
        <v>0</v>
      </c>
      <c r="U56" s="886">
        <f t="shared" si="11"/>
        <v>0</v>
      </c>
      <c r="V56" s="857"/>
      <c r="W56" s="857"/>
      <c r="X56" s="857" t="s">
        <v>4020</v>
      </c>
      <c r="Y56" s="858" t="s">
        <v>4021</v>
      </c>
    </row>
    <row r="57" spans="1:25">
      <c r="A57" s="3076">
        <v>4162</v>
      </c>
      <c r="B57" s="852"/>
      <c r="C57" s="3251" t="s">
        <v>123</v>
      </c>
      <c r="D57" s="3042" t="s">
        <v>4103</v>
      </c>
      <c r="E57" s="878" t="s">
        <v>4104</v>
      </c>
      <c r="F57" s="878"/>
      <c r="G57" s="878"/>
      <c r="H57" s="858"/>
      <c r="I57" s="857"/>
      <c r="J57" s="857"/>
      <c r="K57" s="858"/>
      <c r="L57" s="854">
        <f>SUM(L58)</f>
        <v>1</v>
      </c>
      <c r="M57" s="853">
        <f>M58</f>
        <v>0</v>
      </c>
      <c r="N57" s="2209">
        <f>N58</f>
        <v>0</v>
      </c>
      <c r="O57" s="3253">
        <f>IF(Q57&gt;0,N57,"na")</f>
        <v>0</v>
      </c>
      <c r="P57" s="1081">
        <f>SUM(P58)</f>
        <v>216100716</v>
      </c>
      <c r="Q57" s="1081">
        <f t="shared" ref="Q57:S57" si="19">SUM(Q58)</f>
        <v>216100716</v>
      </c>
      <c r="R57" s="1081">
        <f t="shared" si="19"/>
        <v>0</v>
      </c>
      <c r="S57" s="1081">
        <f t="shared" si="19"/>
        <v>0</v>
      </c>
      <c r="T57" s="886">
        <f t="shared" si="11"/>
        <v>0</v>
      </c>
      <c r="U57" s="886">
        <f t="shared" si="11"/>
        <v>0</v>
      </c>
      <c r="V57" s="857"/>
      <c r="W57" s="857"/>
      <c r="X57" s="857"/>
      <c r="Y57" s="858"/>
    </row>
    <row r="58" spans="1:25" ht="145.19999999999999">
      <c r="A58" s="3076"/>
      <c r="B58" s="852"/>
      <c r="C58" s="3251"/>
      <c r="D58" s="3042"/>
      <c r="E58" s="878" t="s">
        <v>4105</v>
      </c>
      <c r="F58" s="878"/>
      <c r="G58" s="878" t="s">
        <v>4085</v>
      </c>
      <c r="H58" s="1107"/>
      <c r="I58" s="857" t="s">
        <v>4106</v>
      </c>
      <c r="J58" s="857" t="s">
        <v>4087</v>
      </c>
      <c r="K58" s="858">
        <v>510</v>
      </c>
      <c r="L58" s="854">
        <v>1</v>
      </c>
      <c r="M58" s="853">
        <v>0</v>
      </c>
      <c r="N58" s="2209">
        <f>(M58/K58)*L58</f>
        <v>0</v>
      </c>
      <c r="O58" s="3253"/>
      <c r="P58" s="1081">
        <v>216100716</v>
      </c>
      <c r="Q58" s="853">
        <v>216100716</v>
      </c>
      <c r="R58" s="853">
        <v>0</v>
      </c>
      <c r="S58" s="853">
        <v>0</v>
      </c>
      <c r="T58" s="886">
        <f t="shared" si="11"/>
        <v>0</v>
      </c>
      <c r="U58" s="886">
        <f t="shared" si="11"/>
        <v>0</v>
      </c>
      <c r="V58" s="857"/>
      <c r="W58" s="857"/>
      <c r="X58" s="857" t="s">
        <v>4020</v>
      </c>
      <c r="Y58" s="858" t="s">
        <v>4021</v>
      </c>
    </row>
    <row r="59" spans="1:25">
      <c r="A59" s="3076">
        <v>4162</v>
      </c>
      <c r="B59" s="852"/>
      <c r="C59" s="3251" t="s">
        <v>123</v>
      </c>
      <c r="D59" s="3042" t="s">
        <v>4107</v>
      </c>
      <c r="E59" s="878" t="s">
        <v>4108</v>
      </c>
      <c r="F59" s="878"/>
      <c r="G59" s="878"/>
      <c r="H59" s="858"/>
      <c r="I59" s="857"/>
      <c r="J59" s="857"/>
      <c r="K59" s="858"/>
      <c r="L59" s="854">
        <f>SUM(L60)</f>
        <v>1</v>
      </c>
      <c r="M59" s="853">
        <f>M60</f>
        <v>0</v>
      </c>
      <c r="N59" s="2209">
        <f>N60</f>
        <v>0</v>
      </c>
      <c r="O59" s="3253">
        <f>IF(Q59&gt;0,N59,"na")</f>
        <v>0</v>
      </c>
      <c r="P59" s="1081">
        <f>SUM(P60)</f>
        <v>458124320</v>
      </c>
      <c r="Q59" s="1081">
        <f t="shared" ref="Q59:S59" si="20">SUM(Q60)</f>
        <v>458124320</v>
      </c>
      <c r="R59" s="1081">
        <f t="shared" si="20"/>
        <v>0</v>
      </c>
      <c r="S59" s="1081">
        <f t="shared" si="20"/>
        <v>0</v>
      </c>
      <c r="T59" s="886">
        <f t="shared" si="11"/>
        <v>0</v>
      </c>
      <c r="U59" s="886">
        <f t="shared" si="11"/>
        <v>0</v>
      </c>
      <c r="V59" s="857"/>
      <c r="W59" s="857"/>
      <c r="X59" s="857"/>
      <c r="Y59" s="858"/>
    </row>
    <row r="60" spans="1:25" ht="145.19999999999999">
      <c r="A60" s="3076"/>
      <c r="B60" s="852"/>
      <c r="C60" s="3251"/>
      <c r="D60" s="3042"/>
      <c r="E60" s="878" t="s">
        <v>4109</v>
      </c>
      <c r="F60" s="878"/>
      <c r="G60" s="878" t="s">
        <v>4085</v>
      </c>
      <c r="H60" s="1107"/>
      <c r="I60" s="857" t="s">
        <v>4110</v>
      </c>
      <c r="J60" s="857" t="s">
        <v>4087</v>
      </c>
      <c r="K60" s="858">
        <v>900</v>
      </c>
      <c r="L60" s="854">
        <v>1</v>
      </c>
      <c r="M60" s="853">
        <v>0</v>
      </c>
      <c r="N60" s="2209">
        <f>(M60/K60)*L60</f>
        <v>0</v>
      </c>
      <c r="O60" s="3253"/>
      <c r="P60" s="1081">
        <v>458124320</v>
      </c>
      <c r="Q60" s="853">
        <v>458124320</v>
      </c>
      <c r="R60" s="853">
        <v>0</v>
      </c>
      <c r="S60" s="853">
        <v>0</v>
      </c>
      <c r="T60" s="886">
        <f t="shared" si="11"/>
        <v>0</v>
      </c>
      <c r="U60" s="886">
        <f t="shared" si="11"/>
        <v>0</v>
      </c>
      <c r="V60" s="857"/>
      <c r="W60" s="857"/>
      <c r="X60" s="857" t="s">
        <v>4020</v>
      </c>
      <c r="Y60" s="858" t="s">
        <v>4021</v>
      </c>
    </row>
    <row r="61" spans="1:25">
      <c r="A61" s="3076">
        <v>4162</v>
      </c>
      <c r="B61" s="852"/>
      <c r="C61" s="3251" t="s">
        <v>123</v>
      </c>
      <c r="D61" s="3042" t="s">
        <v>4111</v>
      </c>
      <c r="E61" s="878" t="s">
        <v>4112</v>
      </c>
      <c r="F61" s="878"/>
      <c r="G61" s="878"/>
      <c r="H61" s="858"/>
      <c r="I61" s="857"/>
      <c r="J61" s="857"/>
      <c r="K61" s="858"/>
      <c r="L61" s="854">
        <f>SUM(L62)</f>
        <v>1</v>
      </c>
      <c r="M61" s="853">
        <f>M62</f>
        <v>0</v>
      </c>
      <c r="N61" s="2209">
        <f>N62</f>
        <v>0</v>
      </c>
      <c r="O61" s="3253">
        <f>IF(Q61&gt;0,N61,"na")</f>
        <v>0</v>
      </c>
      <c r="P61" s="1081">
        <f>SUM(P62)</f>
        <v>456900623</v>
      </c>
      <c r="Q61" s="1081">
        <f t="shared" ref="Q61:S61" si="21">SUM(Q62)</f>
        <v>456900623</v>
      </c>
      <c r="R61" s="1081">
        <f t="shared" si="21"/>
        <v>0</v>
      </c>
      <c r="S61" s="1081">
        <f t="shared" si="21"/>
        <v>0</v>
      </c>
      <c r="T61" s="886">
        <f t="shared" si="11"/>
        <v>0</v>
      </c>
      <c r="U61" s="886">
        <f t="shared" si="11"/>
        <v>0</v>
      </c>
      <c r="V61" s="857"/>
      <c r="W61" s="857"/>
      <c r="X61" s="857"/>
      <c r="Y61" s="858"/>
    </row>
    <row r="62" spans="1:25" ht="145.19999999999999">
      <c r="A62" s="3076"/>
      <c r="B62" s="852"/>
      <c r="C62" s="3251"/>
      <c r="D62" s="3042"/>
      <c r="E62" s="878" t="s">
        <v>4113</v>
      </c>
      <c r="F62" s="878"/>
      <c r="G62" s="878" t="s">
        <v>4085</v>
      </c>
      <c r="H62" s="1107"/>
      <c r="I62" s="857" t="s">
        <v>4114</v>
      </c>
      <c r="J62" s="857" t="s">
        <v>4087</v>
      </c>
      <c r="K62" s="858">
        <v>640</v>
      </c>
      <c r="L62" s="854">
        <v>1</v>
      </c>
      <c r="M62" s="853">
        <v>0</v>
      </c>
      <c r="N62" s="2209">
        <f>(M62/K62)*L62</f>
        <v>0</v>
      </c>
      <c r="O62" s="3253"/>
      <c r="P62" s="1081">
        <v>456900623</v>
      </c>
      <c r="Q62" s="853">
        <v>456900623</v>
      </c>
      <c r="R62" s="853">
        <v>0</v>
      </c>
      <c r="S62" s="853">
        <v>0</v>
      </c>
      <c r="T62" s="886">
        <f t="shared" si="11"/>
        <v>0</v>
      </c>
      <c r="U62" s="886">
        <f t="shared" si="11"/>
        <v>0</v>
      </c>
      <c r="V62" s="857"/>
      <c r="W62" s="857"/>
      <c r="X62" s="857" t="s">
        <v>4020</v>
      </c>
      <c r="Y62" s="858" t="s">
        <v>4021</v>
      </c>
    </row>
    <row r="63" spans="1:25">
      <c r="A63" s="3076">
        <v>4162</v>
      </c>
      <c r="B63" s="852"/>
      <c r="C63" s="3251" t="s">
        <v>123</v>
      </c>
      <c r="D63" s="3042" t="s">
        <v>4115</v>
      </c>
      <c r="E63" s="878" t="s">
        <v>4116</v>
      </c>
      <c r="F63" s="878"/>
      <c r="G63" s="878"/>
      <c r="H63" s="858"/>
      <c r="I63" s="857"/>
      <c r="J63" s="857"/>
      <c r="K63" s="858"/>
      <c r="L63" s="854">
        <f>SUM(L64)</f>
        <v>1</v>
      </c>
      <c r="M63" s="853">
        <f>M64</f>
        <v>0</v>
      </c>
      <c r="N63" s="2209">
        <f>N64</f>
        <v>0</v>
      </c>
      <c r="O63" s="3253">
        <f>IF(Q63&gt;0,N63,"na")</f>
        <v>0</v>
      </c>
      <c r="P63" s="1081">
        <f>SUM(P64)</f>
        <v>193668027</v>
      </c>
      <c r="Q63" s="1081">
        <f t="shared" ref="Q63:S63" si="22">SUM(Q64)</f>
        <v>193668027</v>
      </c>
      <c r="R63" s="1081">
        <f t="shared" si="22"/>
        <v>0</v>
      </c>
      <c r="S63" s="1081">
        <f t="shared" si="22"/>
        <v>0</v>
      </c>
      <c r="T63" s="886">
        <f t="shared" si="11"/>
        <v>0</v>
      </c>
      <c r="U63" s="886">
        <f t="shared" si="11"/>
        <v>0</v>
      </c>
      <c r="V63" s="857"/>
      <c r="W63" s="857"/>
      <c r="X63" s="857"/>
      <c r="Y63" s="858"/>
    </row>
    <row r="64" spans="1:25" ht="145.19999999999999">
      <c r="A64" s="3076"/>
      <c r="B64" s="852"/>
      <c r="C64" s="3251"/>
      <c r="D64" s="3042"/>
      <c r="E64" s="878" t="s">
        <v>4117</v>
      </c>
      <c r="F64" s="878"/>
      <c r="G64" s="878" t="s">
        <v>4085</v>
      </c>
      <c r="H64" s="1107"/>
      <c r="I64" s="857" t="s">
        <v>4118</v>
      </c>
      <c r="J64" s="857" t="s">
        <v>4087</v>
      </c>
      <c r="K64" s="858">
        <v>380</v>
      </c>
      <c r="L64" s="854">
        <v>1</v>
      </c>
      <c r="M64" s="853">
        <v>0</v>
      </c>
      <c r="N64" s="2209">
        <f>(M64/K64)*L64</f>
        <v>0</v>
      </c>
      <c r="O64" s="3253"/>
      <c r="P64" s="1081">
        <v>193668027</v>
      </c>
      <c r="Q64" s="853">
        <v>193668027</v>
      </c>
      <c r="R64" s="853">
        <v>0</v>
      </c>
      <c r="S64" s="853">
        <v>0</v>
      </c>
      <c r="T64" s="886">
        <f t="shared" si="11"/>
        <v>0</v>
      </c>
      <c r="U64" s="886">
        <f t="shared" si="11"/>
        <v>0</v>
      </c>
      <c r="V64" s="857"/>
      <c r="W64" s="857"/>
      <c r="X64" s="857" t="s">
        <v>4020</v>
      </c>
      <c r="Y64" s="858" t="s">
        <v>4021</v>
      </c>
    </row>
    <row r="65" spans="1:25">
      <c r="A65" s="3076">
        <v>4162</v>
      </c>
      <c r="B65" s="852"/>
      <c r="C65" s="3251" t="s">
        <v>123</v>
      </c>
      <c r="D65" s="3042" t="s">
        <v>4119</v>
      </c>
      <c r="E65" s="878" t="s">
        <v>4120</v>
      </c>
      <c r="F65" s="878"/>
      <c r="G65" s="878"/>
      <c r="H65" s="858"/>
      <c r="I65" s="857"/>
      <c r="J65" s="857"/>
      <c r="K65" s="858"/>
      <c r="L65" s="854">
        <f>SUM(L66)</f>
        <v>1</v>
      </c>
      <c r="M65" s="853">
        <f>M66</f>
        <v>0</v>
      </c>
      <c r="N65" s="2209">
        <f>N66</f>
        <v>0</v>
      </c>
      <c r="O65" s="3253">
        <f>IF(Q65&gt;0,N65,"na")</f>
        <v>0</v>
      </c>
      <c r="P65" s="1081">
        <f>SUM(P66)</f>
        <v>501925941</v>
      </c>
      <c r="Q65" s="1081">
        <f t="shared" ref="Q65:S65" si="23">SUM(Q66)</f>
        <v>501925941</v>
      </c>
      <c r="R65" s="1081">
        <f t="shared" si="23"/>
        <v>0</v>
      </c>
      <c r="S65" s="1081">
        <f t="shared" si="23"/>
        <v>0</v>
      </c>
      <c r="T65" s="886">
        <f t="shared" si="11"/>
        <v>0</v>
      </c>
      <c r="U65" s="886">
        <f t="shared" si="11"/>
        <v>0</v>
      </c>
      <c r="V65" s="857"/>
      <c r="W65" s="857"/>
      <c r="X65" s="857"/>
      <c r="Y65" s="858"/>
    </row>
    <row r="66" spans="1:25" ht="145.19999999999999">
      <c r="A66" s="3076"/>
      <c r="B66" s="852"/>
      <c r="C66" s="3251"/>
      <c r="D66" s="3042"/>
      <c r="E66" s="878" t="s">
        <v>4121</v>
      </c>
      <c r="F66" s="878"/>
      <c r="G66" s="878" t="s">
        <v>4085</v>
      </c>
      <c r="H66" s="1107"/>
      <c r="I66" s="857" t="s">
        <v>4122</v>
      </c>
      <c r="J66" s="857" t="s">
        <v>4087</v>
      </c>
      <c r="K66" s="858">
        <v>1200</v>
      </c>
      <c r="L66" s="854">
        <v>1</v>
      </c>
      <c r="M66" s="853">
        <v>0</v>
      </c>
      <c r="N66" s="2209">
        <f>(M66/K66)*L66</f>
        <v>0</v>
      </c>
      <c r="O66" s="3253"/>
      <c r="P66" s="1081">
        <v>501925941</v>
      </c>
      <c r="Q66" s="853">
        <v>501925941</v>
      </c>
      <c r="R66" s="853">
        <v>0</v>
      </c>
      <c r="S66" s="853">
        <v>0</v>
      </c>
      <c r="T66" s="886">
        <f t="shared" si="11"/>
        <v>0</v>
      </c>
      <c r="U66" s="886">
        <f t="shared" si="11"/>
        <v>0</v>
      </c>
      <c r="V66" s="857"/>
      <c r="W66" s="857"/>
      <c r="X66" s="857" t="s">
        <v>4020</v>
      </c>
      <c r="Y66" s="858" t="s">
        <v>4021</v>
      </c>
    </row>
    <row r="67" spans="1:25">
      <c r="A67" s="3076">
        <v>4162</v>
      </c>
      <c r="B67" s="852"/>
      <c r="C67" s="3251" t="s">
        <v>123</v>
      </c>
      <c r="D67" s="3042" t="s">
        <v>4123</v>
      </c>
      <c r="E67" s="878" t="s">
        <v>4124</v>
      </c>
      <c r="F67" s="878"/>
      <c r="G67" s="878"/>
      <c r="H67" s="858"/>
      <c r="I67" s="857"/>
      <c r="J67" s="857"/>
      <c r="K67" s="858"/>
      <c r="L67" s="854">
        <f>SUM(L68)</f>
        <v>1</v>
      </c>
      <c r="M67" s="853">
        <f>M68</f>
        <v>0</v>
      </c>
      <c r="N67" s="2209">
        <f>N68</f>
        <v>0</v>
      </c>
      <c r="O67" s="3253">
        <f>IF(Q67&gt;0,N67,"na")</f>
        <v>0</v>
      </c>
      <c r="P67" s="1081">
        <f>SUM(P68)</f>
        <v>197743533</v>
      </c>
      <c r="Q67" s="1081">
        <f t="shared" ref="Q67:S67" si="24">SUM(Q68)</f>
        <v>197743533</v>
      </c>
      <c r="R67" s="1081">
        <f t="shared" si="24"/>
        <v>0</v>
      </c>
      <c r="S67" s="1081">
        <f t="shared" si="24"/>
        <v>0</v>
      </c>
      <c r="T67" s="886">
        <f t="shared" si="11"/>
        <v>0</v>
      </c>
      <c r="U67" s="886">
        <f t="shared" si="11"/>
        <v>0</v>
      </c>
      <c r="V67" s="857"/>
      <c r="W67" s="857"/>
      <c r="X67" s="857"/>
      <c r="Y67" s="858"/>
    </row>
    <row r="68" spans="1:25" ht="145.19999999999999">
      <c r="A68" s="3076"/>
      <c r="B68" s="852"/>
      <c r="C68" s="3251"/>
      <c r="D68" s="3042"/>
      <c r="E68" s="878" t="s">
        <v>4125</v>
      </c>
      <c r="F68" s="878"/>
      <c r="G68" s="878" t="s">
        <v>4085</v>
      </c>
      <c r="H68" s="1107"/>
      <c r="I68" s="857" t="s">
        <v>4126</v>
      </c>
      <c r="J68" s="857" t="s">
        <v>4087</v>
      </c>
      <c r="K68" s="858">
        <v>560</v>
      </c>
      <c r="L68" s="854">
        <v>1</v>
      </c>
      <c r="M68" s="853">
        <v>0</v>
      </c>
      <c r="N68" s="2209">
        <f>(M68/K68)*L68</f>
        <v>0</v>
      </c>
      <c r="O68" s="3253"/>
      <c r="P68" s="1081">
        <v>197743533</v>
      </c>
      <c r="Q68" s="853">
        <v>197743533</v>
      </c>
      <c r="R68" s="853">
        <v>0</v>
      </c>
      <c r="S68" s="853">
        <v>0</v>
      </c>
      <c r="T68" s="886">
        <f t="shared" si="11"/>
        <v>0</v>
      </c>
      <c r="U68" s="886">
        <f t="shared" si="11"/>
        <v>0</v>
      </c>
      <c r="V68" s="857"/>
      <c r="W68" s="857"/>
      <c r="X68" s="857" t="s">
        <v>4020</v>
      </c>
      <c r="Y68" s="858" t="s">
        <v>4021</v>
      </c>
    </row>
    <row r="69" spans="1:25">
      <c r="A69" s="3076">
        <v>4162</v>
      </c>
      <c r="B69" s="852"/>
      <c r="C69" s="3251" t="s">
        <v>123</v>
      </c>
      <c r="D69" s="3042" t="s">
        <v>4127</v>
      </c>
      <c r="E69" s="878" t="s">
        <v>4128</v>
      </c>
      <c r="F69" s="878"/>
      <c r="G69" s="878"/>
      <c r="H69" s="858"/>
      <c r="I69" s="857"/>
      <c r="J69" s="857"/>
      <c r="K69" s="858"/>
      <c r="L69" s="854">
        <f>SUM(L70)</f>
        <v>1</v>
      </c>
      <c r="M69" s="853">
        <f>M70</f>
        <v>0</v>
      </c>
      <c r="N69" s="2209">
        <f>N70</f>
        <v>0</v>
      </c>
      <c r="O69" s="3253">
        <f>IF(Q69&gt;0,N69,"na")</f>
        <v>0</v>
      </c>
      <c r="P69" s="1081">
        <f>SUM(P70)</f>
        <v>193610440</v>
      </c>
      <c r="Q69" s="1081">
        <f t="shared" ref="Q69:S69" si="25">SUM(Q70)</f>
        <v>193610440</v>
      </c>
      <c r="R69" s="1081">
        <f t="shared" si="25"/>
        <v>0</v>
      </c>
      <c r="S69" s="1081">
        <f t="shared" si="25"/>
        <v>0</v>
      </c>
      <c r="T69" s="886">
        <f t="shared" si="11"/>
        <v>0</v>
      </c>
      <c r="U69" s="886">
        <f t="shared" si="11"/>
        <v>0</v>
      </c>
      <c r="V69" s="857"/>
      <c r="W69" s="857"/>
      <c r="X69" s="857"/>
      <c r="Y69" s="858"/>
    </row>
    <row r="70" spans="1:25" ht="145.19999999999999">
      <c r="A70" s="3076"/>
      <c r="B70" s="852"/>
      <c r="C70" s="3251"/>
      <c r="D70" s="3042"/>
      <c r="E70" s="878" t="s">
        <v>4129</v>
      </c>
      <c r="F70" s="878"/>
      <c r="G70" s="878" t="s">
        <v>4085</v>
      </c>
      <c r="H70" s="1107"/>
      <c r="I70" s="857" t="s">
        <v>4130</v>
      </c>
      <c r="J70" s="857" t="s">
        <v>4087</v>
      </c>
      <c r="K70" s="858">
        <v>260</v>
      </c>
      <c r="L70" s="854">
        <v>1</v>
      </c>
      <c r="M70" s="853">
        <v>0</v>
      </c>
      <c r="N70" s="2209">
        <f>(M70/K70)*L70</f>
        <v>0</v>
      </c>
      <c r="O70" s="3253"/>
      <c r="P70" s="1081">
        <v>193610440</v>
      </c>
      <c r="Q70" s="853">
        <v>193610440</v>
      </c>
      <c r="R70" s="853">
        <v>0</v>
      </c>
      <c r="S70" s="853">
        <v>0</v>
      </c>
      <c r="T70" s="886">
        <f t="shared" si="11"/>
        <v>0</v>
      </c>
      <c r="U70" s="886">
        <f t="shared" si="11"/>
        <v>0</v>
      </c>
      <c r="V70" s="857"/>
      <c r="W70" s="857"/>
      <c r="X70" s="857" t="s">
        <v>4020</v>
      </c>
      <c r="Y70" s="858" t="s">
        <v>4021</v>
      </c>
    </row>
    <row r="71" spans="1:25">
      <c r="A71" s="3076">
        <v>4162</v>
      </c>
      <c r="B71" s="852"/>
      <c r="C71" s="3251" t="s">
        <v>123</v>
      </c>
      <c r="D71" s="3042" t="s">
        <v>4131</v>
      </c>
      <c r="E71" s="878" t="s">
        <v>4132</v>
      </c>
      <c r="F71" s="878"/>
      <c r="G71" s="878"/>
      <c r="H71" s="858"/>
      <c r="I71" s="857"/>
      <c r="J71" s="857"/>
      <c r="K71" s="858"/>
      <c r="L71" s="854">
        <f>SUM(L72)</f>
        <v>1</v>
      </c>
      <c r="M71" s="853">
        <f>M72</f>
        <v>0</v>
      </c>
      <c r="N71" s="2209">
        <f>N72</f>
        <v>0</v>
      </c>
      <c r="O71" s="3253">
        <f>IF(Q71&gt;0,N71,"na")</f>
        <v>0</v>
      </c>
      <c r="P71" s="1081">
        <f>SUM(P72)</f>
        <v>510271747</v>
      </c>
      <c r="Q71" s="1081">
        <f t="shared" ref="Q71:S71" si="26">SUM(Q72)</f>
        <v>510271747</v>
      </c>
      <c r="R71" s="1081">
        <f t="shared" si="26"/>
        <v>0</v>
      </c>
      <c r="S71" s="1081">
        <f t="shared" si="26"/>
        <v>0</v>
      </c>
      <c r="T71" s="886">
        <f t="shared" si="11"/>
        <v>0</v>
      </c>
      <c r="U71" s="886">
        <f t="shared" si="11"/>
        <v>0</v>
      </c>
      <c r="V71" s="857"/>
      <c r="W71" s="857"/>
      <c r="X71" s="857"/>
      <c r="Y71" s="858"/>
    </row>
    <row r="72" spans="1:25" ht="145.19999999999999">
      <c r="A72" s="3076"/>
      <c r="B72" s="852"/>
      <c r="C72" s="3251"/>
      <c r="D72" s="3042"/>
      <c r="E72" s="878" t="s">
        <v>4133</v>
      </c>
      <c r="F72" s="878"/>
      <c r="G72" s="878" t="s">
        <v>4085</v>
      </c>
      <c r="H72" s="1107"/>
      <c r="I72" s="857" t="s">
        <v>4122</v>
      </c>
      <c r="J72" s="857" t="s">
        <v>4087</v>
      </c>
      <c r="K72" s="858">
        <v>1200</v>
      </c>
      <c r="L72" s="854">
        <v>1</v>
      </c>
      <c r="M72" s="853">
        <v>0</v>
      </c>
      <c r="N72" s="2209">
        <f>(M72/K72)*L72</f>
        <v>0</v>
      </c>
      <c r="O72" s="3253"/>
      <c r="P72" s="1081">
        <v>510271747</v>
      </c>
      <c r="Q72" s="853">
        <v>510271747</v>
      </c>
      <c r="R72" s="853">
        <v>0</v>
      </c>
      <c r="S72" s="853">
        <v>0</v>
      </c>
      <c r="T72" s="886">
        <f t="shared" si="11"/>
        <v>0</v>
      </c>
      <c r="U72" s="886">
        <f t="shared" si="11"/>
        <v>0</v>
      </c>
      <c r="V72" s="857"/>
      <c r="W72" s="857"/>
      <c r="X72" s="857" t="s">
        <v>4020</v>
      </c>
      <c r="Y72" s="858" t="s">
        <v>4021</v>
      </c>
    </row>
    <row r="73" spans="1:25">
      <c r="A73" s="3076">
        <v>4162</v>
      </c>
      <c r="B73" s="852"/>
      <c r="C73" s="3251" t="s">
        <v>123</v>
      </c>
      <c r="D73" s="3042" t="s">
        <v>4134</v>
      </c>
      <c r="E73" s="878" t="s">
        <v>4135</v>
      </c>
      <c r="F73" s="878"/>
      <c r="G73" s="878"/>
      <c r="H73" s="858"/>
      <c r="I73" s="857"/>
      <c r="J73" s="857"/>
      <c r="K73" s="858"/>
      <c r="L73" s="854">
        <f>SUM(L74)</f>
        <v>1</v>
      </c>
      <c r="M73" s="853">
        <f>M74</f>
        <v>0</v>
      </c>
      <c r="N73" s="2209">
        <f>N74</f>
        <v>0</v>
      </c>
      <c r="O73" s="3253">
        <f>IF(Q73&gt;0,N73,"na")</f>
        <v>0</v>
      </c>
      <c r="P73" s="1081">
        <f>SUM(P74)</f>
        <v>294997884</v>
      </c>
      <c r="Q73" s="1081">
        <f t="shared" ref="Q73:S73" si="27">SUM(Q74)</f>
        <v>294997884</v>
      </c>
      <c r="R73" s="1081">
        <f t="shared" si="27"/>
        <v>0</v>
      </c>
      <c r="S73" s="1081">
        <f t="shared" si="27"/>
        <v>0</v>
      </c>
      <c r="T73" s="886">
        <f t="shared" si="11"/>
        <v>0</v>
      </c>
      <c r="U73" s="886">
        <f t="shared" si="11"/>
        <v>0</v>
      </c>
      <c r="V73" s="857"/>
      <c r="W73" s="857"/>
      <c r="X73" s="857"/>
      <c r="Y73" s="858"/>
    </row>
    <row r="74" spans="1:25" ht="145.19999999999999">
      <c r="A74" s="3076"/>
      <c r="B74" s="852"/>
      <c r="C74" s="3251"/>
      <c r="D74" s="3042"/>
      <c r="E74" s="878" t="s">
        <v>4136</v>
      </c>
      <c r="F74" s="878"/>
      <c r="G74" s="878" t="s">
        <v>4085</v>
      </c>
      <c r="H74" s="1107"/>
      <c r="I74" s="857" t="s">
        <v>4137</v>
      </c>
      <c r="J74" s="857" t="s">
        <v>4087</v>
      </c>
      <c r="K74" s="858">
        <v>370</v>
      </c>
      <c r="L74" s="854">
        <v>1</v>
      </c>
      <c r="M74" s="853">
        <v>0</v>
      </c>
      <c r="N74" s="2209">
        <f>(M74/K74)*L74</f>
        <v>0</v>
      </c>
      <c r="O74" s="3253"/>
      <c r="P74" s="1081">
        <v>294997884</v>
      </c>
      <c r="Q74" s="853">
        <v>294997884</v>
      </c>
      <c r="R74" s="853">
        <v>0</v>
      </c>
      <c r="S74" s="853">
        <v>0</v>
      </c>
      <c r="T74" s="886">
        <f t="shared" si="11"/>
        <v>0</v>
      </c>
      <c r="U74" s="886">
        <f t="shared" si="11"/>
        <v>0</v>
      </c>
      <c r="V74" s="857"/>
      <c r="W74" s="857"/>
      <c r="X74" s="857" t="s">
        <v>4020</v>
      </c>
      <c r="Y74" s="858" t="s">
        <v>4021</v>
      </c>
    </row>
    <row r="75" spans="1:25">
      <c r="A75" s="3076">
        <v>4162</v>
      </c>
      <c r="B75" s="852"/>
      <c r="C75" s="3251" t="s">
        <v>123</v>
      </c>
      <c r="D75" s="3042" t="s">
        <v>4138</v>
      </c>
      <c r="E75" s="878" t="s">
        <v>4139</v>
      </c>
      <c r="F75" s="878"/>
      <c r="G75" s="878"/>
      <c r="H75" s="858"/>
      <c r="I75" s="857"/>
      <c r="J75" s="857"/>
      <c r="K75" s="858"/>
      <c r="L75" s="854">
        <f>SUM(L76)</f>
        <v>1</v>
      </c>
      <c r="M75" s="853">
        <f>M76</f>
        <v>0</v>
      </c>
      <c r="N75" s="2209">
        <f>N76</f>
        <v>0</v>
      </c>
      <c r="O75" s="3253">
        <f>IF(Q75&gt;0,N75,"na")</f>
        <v>0</v>
      </c>
      <c r="P75" s="1081">
        <f>SUM(P76)</f>
        <v>288803898</v>
      </c>
      <c r="Q75" s="1081">
        <f t="shared" ref="Q75:S75" si="28">SUM(Q76)</f>
        <v>288803898</v>
      </c>
      <c r="R75" s="1081">
        <f t="shared" si="28"/>
        <v>0</v>
      </c>
      <c r="S75" s="1081">
        <f t="shared" si="28"/>
        <v>0</v>
      </c>
      <c r="T75" s="886">
        <f t="shared" si="11"/>
        <v>0</v>
      </c>
      <c r="U75" s="886">
        <f t="shared" si="11"/>
        <v>0</v>
      </c>
      <c r="V75" s="857"/>
      <c r="W75" s="857"/>
      <c r="X75" s="857"/>
      <c r="Y75" s="858"/>
    </row>
    <row r="76" spans="1:25" ht="145.19999999999999">
      <c r="A76" s="3076"/>
      <c r="B76" s="852"/>
      <c r="C76" s="3251"/>
      <c r="D76" s="3042"/>
      <c r="E76" s="878" t="s">
        <v>4140</v>
      </c>
      <c r="F76" s="878"/>
      <c r="G76" s="878" t="s">
        <v>4085</v>
      </c>
      <c r="H76" s="1107"/>
      <c r="I76" s="857" t="s">
        <v>4141</v>
      </c>
      <c r="J76" s="857" t="s">
        <v>4087</v>
      </c>
      <c r="K76" s="858">
        <v>690</v>
      </c>
      <c r="L76" s="854">
        <v>1</v>
      </c>
      <c r="M76" s="853">
        <v>0</v>
      </c>
      <c r="N76" s="2209">
        <f>(M76/K76)*L76</f>
        <v>0</v>
      </c>
      <c r="O76" s="3253"/>
      <c r="P76" s="1081">
        <v>288803898</v>
      </c>
      <c r="Q76" s="853">
        <v>288803898</v>
      </c>
      <c r="R76" s="853">
        <v>0</v>
      </c>
      <c r="S76" s="853">
        <v>0</v>
      </c>
      <c r="T76" s="886">
        <f t="shared" si="11"/>
        <v>0</v>
      </c>
      <c r="U76" s="886">
        <f t="shared" si="11"/>
        <v>0</v>
      </c>
      <c r="V76" s="857"/>
      <c r="W76" s="857"/>
      <c r="X76" s="857" t="s">
        <v>4020</v>
      </c>
      <c r="Y76" s="858" t="s">
        <v>4021</v>
      </c>
    </row>
    <row r="77" spans="1:25">
      <c r="A77" s="3076">
        <v>4162</v>
      </c>
      <c r="B77" s="852"/>
      <c r="C77" s="3251" t="s">
        <v>123</v>
      </c>
      <c r="D77" s="3042" t="s">
        <v>4142</v>
      </c>
      <c r="E77" s="878" t="s">
        <v>4143</v>
      </c>
      <c r="F77" s="878"/>
      <c r="G77" s="878"/>
      <c r="H77" s="858"/>
      <c r="I77" s="857"/>
      <c r="J77" s="857"/>
      <c r="K77" s="858"/>
      <c r="L77" s="854">
        <f>SUM(L78)</f>
        <v>1</v>
      </c>
      <c r="M77" s="853">
        <f>M78</f>
        <v>0</v>
      </c>
      <c r="N77" s="2209">
        <f>N78</f>
        <v>0</v>
      </c>
      <c r="O77" s="3253">
        <f>IF(Q77&gt;0,N77,"na")</f>
        <v>0</v>
      </c>
      <c r="P77" s="1081">
        <f>SUM(P78)</f>
        <v>348476123</v>
      </c>
      <c r="Q77" s="1081">
        <f t="shared" ref="Q77:S77" si="29">SUM(Q78)</f>
        <v>348476123</v>
      </c>
      <c r="R77" s="1081">
        <f t="shared" si="29"/>
        <v>0</v>
      </c>
      <c r="S77" s="1081">
        <f t="shared" si="29"/>
        <v>0</v>
      </c>
      <c r="T77" s="886">
        <f t="shared" si="11"/>
        <v>0</v>
      </c>
      <c r="U77" s="886">
        <f t="shared" si="11"/>
        <v>0</v>
      </c>
      <c r="V77" s="857"/>
      <c r="W77" s="857"/>
      <c r="X77" s="857"/>
      <c r="Y77" s="858"/>
    </row>
    <row r="78" spans="1:25" ht="145.19999999999999">
      <c r="A78" s="3076"/>
      <c r="B78" s="852"/>
      <c r="C78" s="3251"/>
      <c r="D78" s="3042"/>
      <c r="E78" s="878" t="s">
        <v>4144</v>
      </c>
      <c r="F78" s="878"/>
      <c r="G78" s="878" t="s">
        <v>4085</v>
      </c>
      <c r="H78" s="1107"/>
      <c r="I78" s="857" t="s">
        <v>4145</v>
      </c>
      <c r="J78" s="857" t="s">
        <v>4087</v>
      </c>
      <c r="K78" s="858">
        <v>540</v>
      </c>
      <c r="L78" s="854">
        <v>1</v>
      </c>
      <c r="M78" s="853">
        <v>0</v>
      </c>
      <c r="N78" s="2209">
        <f>(M78/K78)*L78</f>
        <v>0</v>
      </c>
      <c r="O78" s="3253"/>
      <c r="P78" s="1081">
        <v>348476123</v>
      </c>
      <c r="Q78" s="853">
        <v>348476123</v>
      </c>
      <c r="R78" s="853">
        <v>0</v>
      </c>
      <c r="S78" s="853">
        <v>0</v>
      </c>
      <c r="T78" s="886">
        <f t="shared" si="11"/>
        <v>0</v>
      </c>
      <c r="U78" s="886">
        <f t="shared" si="11"/>
        <v>0</v>
      </c>
      <c r="V78" s="857"/>
      <c r="W78" s="857"/>
      <c r="X78" s="857" t="s">
        <v>4020</v>
      </c>
      <c r="Y78" s="858" t="s">
        <v>4021</v>
      </c>
    </row>
    <row r="79" spans="1:25">
      <c r="A79" s="3076">
        <v>4162</v>
      </c>
      <c r="B79" s="852"/>
      <c r="C79" s="3251" t="s">
        <v>123</v>
      </c>
      <c r="D79" s="3042" t="s">
        <v>4146</v>
      </c>
      <c r="E79" s="878" t="s">
        <v>4147</v>
      </c>
      <c r="F79" s="878"/>
      <c r="G79" s="878"/>
      <c r="H79" s="858"/>
      <c r="I79" s="857"/>
      <c r="J79" s="857"/>
      <c r="K79" s="858"/>
      <c r="L79" s="854">
        <f>SUM(L80)</f>
        <v>1</v>
      </c>
      <c r="M79" s="853">
        <f>M80</f>
        <v>0</v>
      </c>
      <c r="N79" s="2209">
        <f>N80</f>
        <v>0</v>
      </c>
      <c r="O79" s="3253">
        <f>IF(Q79&gt;0,N79,"na")</f>
        <v>0</v>
      </c>
      <c r="P79" s="1081">
        <f>SUM(P80)</f>
        <v>197247969</v>
      </c>
      <c r="Q79" s="1081">
        <f t="shared" ref="Q79:S79" si="30">SUM(Q80)</f>
        <v>197247969</v>
      </c>
      <c r="R79" s="1081">
        <f t="shared" si="30"/>
        <v>0</v>
      </c>
      <c r="S79" s="1081">
        <f t="shared" si="30"/>
        <v>0</v>
      </c>
      <c r="T79" s="886">
        <f t="shared" si="11"/>
        <v>0</v>
      </c>
      <c r="U79" s="886">
        <f t="shared" si="11"/>
        <v>0</v>
      </c>
      <c r="V79" s="857"/>
      <c r="W79" s="857"/>
      <c r="X79" s="857"/>
      <c r="Y79" s="858"/>
    </row>
    <row r="80" spans="1:25" ht="145.19999999999999">
      <c r="A80" s="3076"/>
      <c r="B80" s="852"/>
      <c r="C80" s="3251"/>
      <c r="D80" s="3042"/>
      <c r="E80" s="878" t="s">
        <v>4148</v>
      </c>
      <c r="F80" s="878"/>
      <c r="G80" s="878" t="s">
        <v>4085</v>
      </c>
      <c r="H80" s="1107"/>
      <c r="I80" s="857" t="s">
        <v>4098</v>
      </c>
      <c r="J80" s="857" t="s">
        <v>4087</v>
      </c>
      <c r="K80" s="858">
        <v>680</v>
      </c>
      <c r="L80" s="854">
        <v>1</v>
      </c>
      <c r="M80" s="853">
        <v>0</v>
      </c>
      <c r="N80" s="2209">
        <f>(M80/K80)*L80</f>
        <v>0</v>
      </c>
      <c r="O80" s="3253"/>
      <c r="P80" s="1081">
        <v>197247969</v>
      </c>
      <c r="Q80" s="853">
        <v>197247969</v>
      </c>
      <c r="R80" s="853">
        <v>0</v>
      </c>
      <c r="S80" s="853">
        <v>0</v>
      </c>
      <c r="T80" s="886">
        <f t="shared" si="11"/>
        <v>0</v>
      </c>
      <c r="U80" s="886">
        <f t="shared" si="11"/>
        <v>0</v>
      </c>
      <c r="V80" s="857"/>
      <c r="W80" s="857"/>
      <c r="X80" s="857" t="s">
        <v>4020</v>
      </c>
      <c r="Y80" s="858" t="s">
        <v>4021</v>
      </c>
    </row>
    <row r="81" spans="1:25">
      <c r="A81" s="3076">
        <v>4162</v>
      </c>
      <c r="B81" s="852"/>
      <c r="C81" s="3251" t="s">
        <v>123</v>
      </c>
      <c r="D81" s="3042" t="s">
        <v>4149</v>
      </c>
      <c r="E81" s="878" t="s">
        <v>4150</v>
      </c>
      <c r="F81" s="878"/>
      <c r="G81" s="878"/>
      <c r="H81" s="858"/>
      <c r="I81" s="857"/>
      <c r="J81" s="857"/>
      <c r="K81" s="858"/>
      <c r="L81" s="854">
        <f>SUM(L82)</f>
        <v>1</v>
      </c>
      <c r="M81" s="853">
        <f>M82</f>
        <v>0</v>
      </c>
      <c r="N81" s="2209">
        <f>N82</f>
        <v>0</v>
      </c>
      <c r="O81" s="3253">
        <f>IF(Q81&gt;0,N81,"na")</f>
        <v>0</v>
      </c>
      <c r="P81" s="1081">
        <f>SUM(P82)</f>
        <v>644795082</v>
      </c>
      <c r="Q81" s="1081">
        <f t="shared" ref="Q81:S81" si="31">SUM(Q82)</f>
        <v>644795082</v>
      </c>
      <c r="R81" s="1081">
        <f t="shared" si="31"/>
        <v>0</v>
      </c>
      <c r="S81" s="1081">
        <f t="shared" si="31"/>
        <v>0</v>
      </c>
      <c r="T81" s="886">
        <f t="shared" si="11"/>
        <v>0</v>
      </c>
      <c r="U81" s="886">
        <f t="shared" si="11"/>
        <v>0</v>
      </c>
      <c r="V81" s="857"/>
      <c r="W81" s="857"/>
      <c r="X81" s="857"/>
      <c r="Y81" s="858"/>
    </row>
    <row r="82" spans="1:25" ht="145.19999999999999">
      <c r="A82" s="3076"/>
      <c r="B82" s="852"/>
      <c r="C82" s="3251"/>
      <c r="D82" s="3042"/>
      <c r="E82" s="878" t="s">
        <v>4151</v>
      </c>
      <c r="F82" s="878"/>
      <c r="G82" s="878" t="s">
        <v>4085</v>
      </c>
      <c r="H82" s="1107"/>
      <c r="I82" s="857" t="s">
        <v>4152</v>
      </c>
      <c r="J82" s="857" t="s">
        <v>4087</v>
      </c>
      <c r="K82" s="858">
        <v>5400</v>
      </c>
      <c r="L82" s="854">
        <v>1</v>
      </c>
      <c r="M82" s="853">
        <v>0</v>
      </c>
      <c r="N82" s="2209">
        <f>(M82/K82)*L82</f>
        <v>0</v>
      </c>
      <c r="O82" s="3253"/>
      <c r="P82" s="1081">
        <v>644795082</v>
      </c>
      <c r="Q82" s="853">
        <v>644795082</v>
      </c>
      <c r="R82" s="853">
        <v>0</v>
      </c>
      <c r="S82" s="853">
        <v>0</v>
      </c>
      <c r="T82" s="886">
        <f t="shared" si="11"/>
        <v>0</v>
      </c>
      <c r="U82" s="886">
        <f t="shared" si="11"/>
        <v>0</v>
      </c>
      <c r="V82" s="857"/>
      <c r="W82" s="857"/>
      <c r="X82" s="857" t="s">
        <v>4020</v>
      </c>
      <c r="Y82" s="858" t="s">
        <v>4021</v>
      </c>
    </row>
    <row r="83" spans="1:25">
      <c r="A83" s="846"/>
      <c r="B83" s="851">
        <v>52020020010</v>
      </c>
      <c r="C83" s="851" t="s">
        <v>117</v>
      </c>
      <c r="D83" s="846" t="s">
        <v>4153</v>
      </c>
      <c r="E83" s="845"/>
      <c r="F83" s="846"/>
      <c r="G83" s="846"/>
      <c r="H83" s="844"/>
      <c r="I83" s="846"/>
      <c r="J83" s="846"/>
      <c r="K83" s="844"/>
      <c r="L83" s="854"/>
      <c r="M83" s="857"/>
      <c r="N83" s="2209"/>
      <c r="O83" s="886"/>
      <c r="P83" s="1081"/>
      <c r="Q83" s="853"/>
      <c r="R83" s="853"/>
      <c r="S83" s="853"/>
      <c r="T83" s="886"/>
      <c r="U83" s="886"/>
      <c r="V83" s="857"/>
      <c r="W83" s="857"/>
      <c r="X83" s="857"/>
      <c r="Y83" s="858"/>
    </row>
    <row r="84" spans="1:25">
      <c r="A84" s="3076">
        <v>4162</v>
      </c>
      <c r="B84" s="852"/>
      <c r="C84" s="3251" t="s">
        <v>123</v>
      </c>
      <c r="D84" s="3042" t="s">
        <v>4154</v>
      </c>
      <c r="E84" s="878" t="s">
        <v>4155</v>
      </c>
      <c r="F84" s="857"/>
      <c r="G84" s="857"/>
      <c r="H84" s="858"/>
      <c r="I84" s="857"/>
      <c r="J84" s="857"/>
      <c r="K84" s="858"/>
      <c r="L84" s="854">
        <f>SUM(L85:L87)</f>
        <v>0.99999999999999989</v>
      </c>
      <c r="M84" s="853">
        <f>SUM(M85:M87)</f>
        <v>2328</v>
      </c>
      <c r="N84" s="2209">
        <f>SUM(N85:N87)</f>
        <v>0.16847621052631578</v>
      </c>
      <c r="O84" s="3253">
        <f>IF(Q84&gt;0,N84,"na")</f>
        <v>0.16847621052631578</v>
      </c>
      <c r="P84" s="1081">
        <f>SUM(P85:P87)</f>
        <v>12799908000</v>
      </c>
      <c r="Q84" s="1081">
        <f t="shared" ref="Q84:S84" si="32">SUM(Q85:Q87)</f>
        <v>13033663252</v>
      </c>
      <c r="R84" s="1081">
        <f t="shared" si="32"/>
        <v>4213968445</v>
      </c>
      <c r="S84" s="1081">
        <f t="shared" si="32"/>
        <v>351363000</v>
      </c>
      <c r="T84" s="886">
        <f t="shared" si="11"/>
        <v>0.32331420288562168</v>
      </c>
      <c r="U84" s="886">
        <f t="shared" si="11"/>
        <v>8.3380548427433698E-2</v>
      </c>
      <c r="V84" s="857"/>
      <c r="W84" s="857"/>
      <c r="X84" s="857"/>
      <c r="Y84" s="858"/>
    </row>
    <row r="85" spans="1:25" ht="66">
      <c r="A85" s="3076"/>
      <c r="B85" s="852"/>
      <c r="C85" s="3251"/>
      <c r="D85" s="3042"/>
      <c r="E85" s="878" t="s">
        <v>4156</v>
      </c>
      <c r="F85" s="857"/>
      <c r="G85" s="857" t="s">
        <v>4153</v>
      </c>
      <c r="H85" s="1107"/>
      <c r="I85" s="857" t="s">
        <v>4157</v>
      </c>
      <c r="J85" s="857" t="s">
        <v>4018</v>
      </c>
      <c r="K85" s="858">
        <v>38</v>
      </c>
      <c r="L85" s="854">
        <v>0.32</v>
      </c>
      <c r="M85" s="853">
        <v>4</v>
      </c>
      <c r="N85" s="2209">
        <f>(M85/K85)*L85</f>
        <v>3.3684210526315789E-2</v>
      </c>
      <c r="O85" s="3253"/>
      <c r="P85" s="1081">
        <v>4125287600</v>
      </c>
      <c r="Q85" s="1081">
        <v>4125287600</v>
      </c>
      <c r="R85" s="853">
        <v>3671299445</v>
      </c>
      <c r="S85" s="853">
        <v>244846000</v>
      </c>
      <c r="T85" s="886">
        <f t="shared" si="11"/>
        <v>0.88994993827824276</v>
      </c>
      <c r="U85" s="886">
        <f t="shared" si="11"/>
        <v>6.6691917580697369E-2</v>
      </c>
      <c r="V85" s="856">
        <v>45324</v>
      </c>
      <c r="W85" s="856">
        <v>45657</v>
      </c>
      <c r="X85" s="857" t="s">
        <v>4158</v>
      </c>
      <c r="Y85" s="3076" t="s">
        <v>4021</v>
      </c>
    </row>
    <row r="86" spans="1:25" ht="105.6">
      <c r="A86" s="3076"/>
      <c r="B86" s="852"/>
      <c r="C86" s="3251"/>
      <c r="D86" s="3042"/>
      <c r="E86" s="878" t="s">
        <v>4159</v>
      </c>
      <c r="F86" s="857"/>
      <c r="G86" s="857"/>
      <c r="H86" s="858"/>
      <c r="I86" s="857" t="s">
        <v>4160</v>
      </c>
      <c r="J86" s="857" t="s">
        <v>4073</v>
      </c>
      <c r="K86" s="858">
        <v>10000</v>
      </c>
      <c r="L86" s="854">
        <v>0.57999999999999996</v>
      </c>
      <c r="M86" s="853">
        <v>2324</v>
      </c>
      <c r="N86" s="2209">
        <f>(M86/K86)*L86</f>
        <v>0.134792</v>
      </c>
      <c r="O86" s="3253"/>
      <c r="P86" s="1081">
        <v>7388328800</v>
      </c>
      <c r="Q86" s="1081">
        <v>7622084052</v>
      </c>
      <c r="R86" s="853">
        <v>542669000</v>
      </c>
      <c r="S86" s="853">
        <v>106517000</v>
      </c>
      <c r="T86" s="886">
        <f t="shared" si="11"/>
        <v>7.119693200675295E-2</v>
      </c>
      <c r="U86" s="886">
        <f t="shared" si="11"/>
        <v>0.19628355406334247</v>
      </c>
      <c r="V86" s="856">
        <v>45324</v>
      </c>
      <c r="W86" s="856">
        <v>45657</v>
      </c>
      <c r="X86" s="857" t="s">
        <v>4161</v>
      </c>
      <c r="Y86" s="3076"/>
    </row>
    <row r="87" spans="1:25" ht="39.6">
      <c r="A87" s="3076"/>
      <c r="B87" s="852"/>
      <c r="C87" s="3251"/>
      <c r="D87" s="3042"/>
      <c r="E87" s="878" t="s">
        <v>4162</v>
      </c>
      <c r="F87" s="857"/>
      <c r="G87" s="857"/>
      <c r="H87" s="858"/>
      <c r="I87" s="857" t="s">
        <v>4163</v>
      </c>
      <c r="J87" s="857" t="s">
        <v>2902</v>
      </c>
      <c r="K87" s="858">
        <v>10</v>
      </c>
      <c r="L87" s="854">
        <v>0.1</v>
      </c>
      <c r="M87" s="853">
        <v>0</v>
      </c>
      <c r="N87" s="2209">
        <f>(M87/K87)*L87</f>
        <v>0</v>
      </c>
      <c r="O87" s="3253"/>
      <c r="P87" s="1081">
        <v>1286291600</v>
      </c>
      <c r="Q87" s="1081">
        <v>1286291600</v>
      </c>
      <c r="R87" s="853">
        <v>0</v>
      </c>
      <c r="S87" s="853">
        <v>0</v>
      </c>
      <c r="T87" s="886">
        <f t="shared" si="11"/>
        <v>0</v>
      </c>
      <c r="U87" s="886">
        <f t="shared" si="11"/>
        <v>0</v>
      </c>
      <c r="V87" s="857"/>
      <c r="W87" s="857"/>
      <c r="X87" s="857" t="s">
        <v>4164</v>
      </c>
      <c r="Y87" s="3076"/>
    </row>
    <row r="88" spans="1:25">
      <c r="A88" s="872"/>
      <c r="B88" s="2207">
        <v>5202004</v>
      </c>
      <c r="C88" s="2207" t="s">
        <v>116</v>
      </c>
      <c r="D88" s="872" t="s">
        <v>2483</v>
      </c>
      <c r="E88" s="874"/>
      <c r="F88" s="872"/>
      <c r="G88" s="872"/>
      <c r="H88" s="873"/>
      <c r="I88" s="872"/>
      <c r="J88" s="872"/>
      <c r="K88" s="873"/>
      <c r="L88" s="854"/>
      <c r="M88" s="853"/>
      <c r="N88" s="2209"/>
      <c r="O88" s="2210"/>
      <c r="P88" s="1081"/>
      <c r="Q88" s="853"/>
      <c r="R88" s="853"/>
      <c r="S88" s="853"/>
      <c r="T88" s="886"/>
      <c r="U88" s="886"/>
      <c r="V88" s="857"/>
      <c r="W88" s="857"/>
      <c r="X88" s="857"/>
      <c r="Y88" s="858"/>
    </row>
    <row r="89" spans="1:25" ht="27.6">
      <c r="A89" s="846"/>
      <c r="B89" s="851">
        <v>52020040007</v>
      </c>
      <c r="C89" s="851" t="s">
        <v>117</v>
      </c>
      <c r="D89" s="846" t="s">
        <v>4165</v>
      </c>
      <c r="E89" s="845"/>
      <c r="F89" s="846"/>
      <c r="G89" s="846"/>
      <c r="H89" s="844"/>
      <c r="I89" s="846"/>
      <c r="J89" s="846"/>
      <c r="K89" s="844"/>
      <c r="L89" s="854"/>
      <c r="M89" s="853"/>
      <c r="N89" s="2209"/>
      <c r="O89" s="2210"/>
      <c r="P89" s="1081"/>
      <c r="Q89" s="853"/>
      <c r="R89" s="853"/>
      <c r="S89" s="853"/>
      <c r="T89" s="886"/>
      <c r="U89" s="886"/>
      <c r="V89" s="857"/>
      <c r="W89" s="857"/>
      <c r="X89" s="857"/>
      <c r="Y89" s="858"/>
    </row>
    <row r="90" spans="1:25">
      <c r="A90" s="3076">
        <v>4162</v>
      </c>
      <c r="B90" s="852"/>
      <c r="C90" s="3251" t="s">
        <v>123</v>
      </c>
      <c r="D90" s="3066" t="s">
        <v>4166</v>
      </c>
      <c r="E90" s="878" t="s">
        <v>4167</v>
      </c>
      <c r="F90" s="857"/>
      <c r="G90" s="857"/>
      <c r="H90" s="858"/>
      <c r="I90" s="857"/>
      <c r="J90" s="857"/>
      <c r="K90" s="858"/>
      <c r="L90" s="854">
        <f>SUM(L91)</f>
        <v>1</v>
      </c>
      <c r="M90" s="853">
        <f>M91</f>
        <v>0</v>
      </c>
      <c r="N90" s="2209">
        <f>N91</f>
        <v>0</v>
      </c>
      <c r="O90" s="3253">
        <f>IF(Q90&gt;0,N90,"na")</f>
        <v>0</v>
      </c>
      <c r="P90" s="1081">
        <f>SUM(P91)</f>
        <v>181413024</v>
      </c>
      <c r="Q90" s="1081">
        <f t="shared" ref="Q90:S90" si="33">SUM(Q91)</f>
        <v>181413024</v>
      </c>
      <c r="R90" s="1081">
        <f t="shared" si="33"/>
        <v>0</v>
      </c>
      <c r="S90" s="1081">
        <f t="shared" si="33"/>
        <v>0</v>
      </c>
      <c r="T90" s="886">
        <f t="shared" si="11"/>
        <v>0</v>
      </c>
      <c r="U90" s="886">
        <f t="shared" si="11"/>
        <v>0</v>
      </c>
      <c r="V90" s="857"/>
      <c r="W90" s="857"/>
      <c r="X90" s="857"/>
      <c r="Y90" s="858"/>
    </row>
    <row r="91" spans="1:25" ht="92.4">
      <c r="A91" s="3076"/>
      <c r="B91" s="852"/>
      <c r="C91" s="3251"/>
      <c r="D91" s="3066"/>
      <c r="E91" s="878" t="s">
        <v>4168</v>
      </c>
      <c r="F91" s="857"/>
      <c r="G91" s="857" t="s">
        <v>4165</v>
      </c>
      <c r="H91" s="1107"/>
      <c r="I91" s="857" t="s">
        <v>4169</v>
      </c>
      <c r="J91" s="857" t="s">
        <v>4073</v>
      </c>
      <c r="K91" s="858">
        <v>300</v>
      </c>
      <c r="L91" s="854">
        <v>1</v>
      </c>
      <c r="M91" s="853">
        <v>0</v>
      </c>
      <c r="N91" s="2209">
        <f>(M91/K91)*L91</f>
        <v>0</v>
      </c>
      <c r="O91" s="3253"/>
      <c r="P91" s="1081">
        <v>181413024</v>
      </c>
      <c r="Q91" s="1081">
        <v>181413024</v>
      </c>
      <c r="R91" s="853">
        <v>0</v>
      </c>
      <c r="S91" s="853">
        <v>0</v>
      </c>
      <c r="T91" s="886">
        <f t="shared" si="11"/>
        <v>0</v>
      </c>
      <c r="U91" s="886">
        <f t="shared" si="11"/>
        <v>0</v>
      </c>
      <c r="V91" s="857"/>
      <c r="W91" s="856"/>
      <c r="X91" s="857" t="s">
        <v>4170</v>
      </c>
      <c r="Y91" s="858" t="s">
        <v>4021</v>
      </c>
    </row>
    <row r="92" spans="1:25">
      <c r="A92" s="872"/>
      <c r="B92" s="2207">
        <v>5202009</v>
      </c>
      <c r="C92" s="2207" t="s">
        <v>116</v>
      </c>
      <c r="D92" s="872" t="s">
        <v>4171</v>
      </c>
      <c r="E92" s="874"/>
      <c r="F92" s="872"/>
      <c r="G92" s="872"/>
      <c r="H92" s="873"/>
      <c r="I92" s="872"/>
      <c r="J92" s="872"/>
      <c r="K92" s="873"/>
      <c r="L92" s="854"/>
      <c r="M92" s="853"/>
      <c r="N92" s="2209"/>
      <c r="O92" s="2210"/>
      <c r="P92" s="1081"/>
      <c r="Q92" s="853"/>
      <c r="R92" s="853"/>
      <c r="S92" s="853"/>
      <c r="T92" s="886"/>
      <c r="U92" s="886"/>
      <c r="V92" s="857"/>
      <c r="W92" s="857"/>
      <c r="X92" s="857"/>
      <c r="Y92" s="858"/>
    </row>
    <row r="93" spans="1:25" ht="27.6">
      <c r="A93" s="846"/>
      <c r="B93" s="851">
        <v>52020090004</v>
      </c>
      <c r="C93" s="851" t="s">
        <v>117</v>
      </c>
      <c r="D93" s="846" t="s">
        <v>4172</v>
      </c>
      <c r="E93" s="845"/>
      <c r="F93" s="846"/>
      <c r="G93" s="846"/>
      <c r="H93" s="844"/>
      <c r="I93" s="846"/>
      <c r="J93" s="846"/>
      <c r="K93" s="844"/>
      <c r="L93" s="854"/>
      <c r="M93" s="853"/>
      <c r="N93" s="2209"/>
      <c r="O93" s="2210"/>
      <c r="P93" s="1081"/>
      <c r="Q93" s="853"/>
      <c r="R93" s="853"/>
      <c r="S93" s="853"/>
      <c r="T93" s="886"/>
      <c r="U93" s="886"/>
      <c r="V93" s="857"/>
      <c r="W93" s="857"/>
      <c r="X93" s="857"/>
      <c r="Y93" s="858"/>
    </row>
    <row r="94" spans="1:25">
      <c r="A94" s="3076">
        <v>4162</v>
      </c>
      <c r="B94" s="852"/>
      <c r="C94" s="3251" t="s">
        <v>123</v>
      </c>
      <c r="D94" s="3066" t="s">
        <v>4173</v>
      </c>
      <c r="E94" s="878" t="s">
        <v>4174</v>
      </c>
      <c r="F94" s="857"/>
      <c r="G94" s="857"/>
      <c r="H94" s="858"/>
      <c r="I94" s="857"/>
      <c r="J94" s="857"/>
      <c r="K94" s="858"/>
      <c r="L94" s="854">
        <f>SUM(L95:L96)</f>
        <v>1</v>
      </c>
      <c r="M94" s="853">
        <f>SUM(M95:M96)</f>
        <v>0</v>
      </c>
      <c r="N94" s="2209">
        <f>SUM(N95:N96)</f>
        <v>0</v>
      </c>
      <c r="O94" s="3253">
        <f>IF(Q94&gt;0,N94,"na")</f>
        <v>0</v>
      </c>
      <c r="P94" s="1081">
        <f>SUM(P95:P96)</f>
        <v>1325560000</v>
      </c>
      <c r="Q94" s="1081">
        <f t="shared" ref="Q94:S94" si="34">SUM(Q95:Q96)</f>
        <v>1383998813</v>
      </c>
      <c r="R94" s="1081">
        <f t="shared" si="34"/>
        <v>223828000</v>
      </c>
      <c r="S94" s="1081">
        <f t="shared" si="34"/>
        <v>74400000</v>
      </c>
      <c r="T94" s="886">
        <f t="shared" ref="T94:U149" si="35">+IF(Q94=0,0,R94/Q94)</f>
        <v>0.16172557223139758</v>
      </c>
      <c r="U94" s="886">
        <f t="shared" si="35"/>
        <v>0.33239809139160426</v>
      </c>
      <c r="V94" s="857"/>
      <c r="W94" s="857"/>
      <c r="X94" s="857"/>
      <c r="Y94" s="858"/>
    </row>
    <row r="95" spans="1:25" ht="118.8">
      <c r="A95" s="3076"/>
      <c r="B95" s="852"/>
      <c r="C95" s="3251"/>
      <c r="D95" s="3066"/>
      <c r="E95" s="878" t="s">
        <v>4175</v>
      </c>
      <c r="F95" s="857"/>
      <c r="G95" s="857" t="s">
        <v>4172</v>
      </c>
      <c r="H95" s="1107"/>
      <c r="I95" s="857" t="s">
        <v>4176</v>
      </c>
      <c r="J95" s="857" t="s">
        <v>4073</v>
      </c>
      <c r="K95" s="858">
        <v>800</v>
      </c>
      <c r="L95" s="854">
        <v>0.81</v>
      </c>
      <c r="M95" s="853">
        <v>0</v>
      </c>
      <c r="N95" s="2209">
        <f>(M95/K95)*L95</f>
        <v>0</v>
      </c>
      <c r="O95" s="3253"/>
      <c r="P95" s="1081">
        <v>1068996720</v>
      </c>
      <c r="Q95" s="1081">
        <v>1102259533</v>
      </c>
      <c r="R95" s="853">
        <v>164362000</v>
      </c>
      <c r="S95" s="853">
        <v>58752000</v>
      </c>
      <c r="T95" s="886">
        <f t="shared" si="35"/>
        <v>0.14911370242601477</v>
      </c>
      <c r="U95" s="886">
        <f t="shared" si="35"/>
        <v>0.3574548861659021</v>
      </c>
      <c r="V95" s="856">
        <v>45324</v>
      </c>
      <c r="W95" s="856">
        <v>45657</v>
      </c>
      <c r="X95" s="857" t="s">
        <v>4177</v>
      </c>
      <c r="Y95" s="3076" t="s">
        <v>4021</v>
      </c>
    </row>
    <row r="96" spans="1:25" ht="92.4">
      <c r="A96" s="3076"/>
      <c r="B96" s="852"/>
      <c r="C96" s="3251"/>
      <c r="D96" s="3066"/>
      <c r="E96" s="878" t="s">
        <v>4178</v>
      </c>
      <c r="F96" s="857"/>
      <c r="G96" s="857"/>
      <c r="H96" s="858"/>
      <c r="I96" s="857" t="s">
        <v>4179</v>
      </c>
      <c r="J96" s="857" t="s">
        <v>4018</v>
      </c>
      <c r="K96" s="858">
        <v>1</v>
      </c>
      <c r="L96" s="854">
        <v>0.19</v>
      </c>
      <c r="M96" s="853">
        <v>0</v>
      </c>
      <c r="N96" s="2209">
        <f>(M96/K96)*L96</f>
        <v>0</v>
      </c>
      <c r="O96" s="3253"/>
      <c r="P96" s="1081">
        <v>256563280</v>
      </c>
      <c r="Q96" s="1081">
        <v>281739280</v>
      </c>
      <c r="R96" s="853">
        <v>59466000</v>
      </c>
      <c r="S96" s="853">
        <v>15648000</v>
      </c>
      <c r="T96" s="886">
        <f t="shared" si="35"/>
        <v>0.2110674805444239</v>
      </c>
      <c r="U96" s="886">
        <f t="shared" si="35"/>
        <v>0.26314196347492685</v>
      </c>
      <c r="V96" s="856">
        <v>45334</v>
      </c>
      <c r="W96" s="856">
        <v>45657</v>
      </c>
      <c r="X96" s="857" t="s">
        <v>4180</v>
      </c>
      <c r="Y96" s="3076"/>
    </row>
    <row r="97" spans="1:25" ht="15.6">
      <c r="A97" s="839"/>
      <c r="B97" s="2205">
        <v>5203</v>
      </c>
      <c r="C97" s="837" t="s">
        <v>115</v>
      </c>
      <c r="D97" s="839" t="s">
        <v>163</v>
      </c>
      <c r="E97" s="838"/>
      <c r="F97" s="839"/>
      <c r="G97" s="839"/>
      <c r="H97" s="837"/>
      <c r="I97" s="839"/>
      <c r="J97" s="839"/>
      <c r="K97" s="837"/>
      <c r="L97" s="854"/>
      <c r="M97" s="853"/>
      <c r="N97" s="2209"/>
      <c r="O97" s="2210"/>
      <c r="P97" s="1081"/>
      <c r="Q97" s="853"/>
      <c r="R97" s="853"/>
      <c r="S97" s="853"/>
      <c r="T97" s="886"/>
      <c r="U97" s="886"/>
      <c r="V97" s="857"/>
      <c r="W97" s="857"/>
      <c r="X97" s="857"/>
      <c r="Y97" s="858"/>
    </row>
    <row r="98" spans="1:25">
      <c r="A98" s="872"/>
      <c r="B98" s="2207">
        <v>5203008</v>
      </c>
      <c r="C98" s="2207" t="s">
        <v>116</v>
      </c>
      <c r="D98" s="872" t="s">
        <v>175</v>
      </c>
      <c r="E98" s="874"/>
      <c r="F98" s="872"/>
      <c r="G98" s="872"/>
      <c r="H98" s="873"/>
      <c r="I98" s="872"/>
      <c r="J98" s="872"/>
      <c r="K98" s="873"/>
      <c r="L98" s="854"/>
      <c r="M98" s="853"/>
      <c r="N98" s="2209"/>
      <c r="O98" s="2210"/>
      <c r="P98" s="1081"/>
      <c r="Q98" s="853"/>
      <c r="R98" s="853"/>
      <c r="S98" s="853"/>
      <c r="T98" s="886"/>
      <c r="U98" s="886"/>
      <c r="V98" s="857"/>
      <c r="W98" s="857"/>
      <c r="X98" s="857"/>
      <c r="Y98" s="858"/>
    </row>
    <row r="99" spans="1:25" ht="27.6">
      <c r="A99" s="846"/>
      <c r="B99" s="851">
        <v>52030080005</v>
      </c>
      <c r="C99" s="851" t="s">
        <v>117</v>
      </c>
      <c r="D99" s="846" t="s">
        <v>4181</v>
      </c>
      <c r="E99" s="845"/>
      <c r="F99" s="846"/>
      <c r="G99" s="846"/>
      <c r="H99" s="844"/>
      <c r="I99" s="846"/>
      <c r="J99" s="846"/>
      <c r="K99" s="844"/>
      <c r="L99" s="854"/>
      <c r="M99" s="857"/>
      <c r="N99" s="2209"/>
      <c r="O99" s="886"/>
      <c r="P99" s="1081"/>
      <c r="Q99" s="853"/>
      <c r="R99" s="853"/>
      <c r="S99" s="853"/>
      <c r="T99" s="886"/>
      <c r="U99" s="886"/>
      <c r="V99" s="857"/>
      <c r="W99" s="857"/>
      <c r="X99" s="857"/>
      <c r="Y99" s="858"/>
    </row>
    <row r="100" spans="1:25">
      <c r="A100" s="3076">
        <v>4162</v>
      </c>
      <c r="B100" s="852"/>
      <c r="C100" s="3251" t="s">
        <v>123</v>
      </c>
      <c r="D100" s="3042" t="s">
        <v>4182</v>
      </c>
      <c r="E100" s="878" t="s">
        <v>4183</v>
      </c>
      <c r="F100" s="857"/>
      <c r="G100" s="857"/>
      <c r="H100" s="858"/>
      <c r="I100" s="857"/>
      <c r="J100" s="857"/>
      <c r="K100" s="858"/>
      <c r="L100" s="854">
        <f>SUM(L101:L102)</f>
        <v>1</v>
      </c>
      <c r="M100" s="853">
        <f>SUM(M101:M102)</f>
        <v>0</v>
      </c>
      <c r="N100" s="2209">
        <f>SUM(N101:N102)</f>
        <v>0</v>
      </c>
      <c r="O100" s="3253">
        <f>IF(Q100&gt;0,N100,"na")</f>
        <v>0</v>
      </c>
      <c r="P100" s="1081">
        <f>SUM(P101:P102)</f>
        <v>950000000</v>
      </c>
      <c r="Q100" s="1081">
        <f t="shared" ref="Q100:S100" si="36">SUM(Q101:Q102)</f>
        <v>950000000</v>
      </c>
      <c r="R100" s="1081">
        <f t="shared" si="36"/>
        <v>66997125</v>
      </c>
      <c r="S100" s="1081">
        <f t="shared" si="36"/>
        <v>0</v>
      </c>
      <c r="T100" s="886">
        <f t="shared" si="35"/>
        <v>7.0523289473684206E-2</v>
      </c>
      <c r="U100" s="886">
        <f t="shared" si="35"/>
        <v>0</v>
      </c>
      <c r="V100" s="857"/>
      <c r="W100" s="857"/>
      <c r="X100" s="857"/>
      <c r="Y100" s="858"/>
    </row>
    <row r="101" spans="1:25" ht="79.2">
      <c r="A101" s="3076"/>
      <c r="B101" s="852"/>
      <c r="C101" s="3251"/>
      <c r="D101" s="3042"/>
      <c r="E101" s="878" t="s">
        <v>4184</v>
      </c>
      <c r="F101" s="857"/>
      <c r="G101" s="3042" t="s">
        <v>4185</v>
      </c>
      <c r="H101" s="3255"/>
      <c r="I101" s="857" t="s">
        <v>4186</v>
      </c>
      <c r="J101" s="857" t="s">
        <v>4187</v>
      </c>
      <c r="K101" s="858">
        <v>1</v>
      </c>
      <c r="L101" s="854">
        <v>0.61</v>
      </c>
      <c r="M101" s="853">
        <v>0</v>
      </c>
      <c r="N101" s="2209">
        <f>(M101/K101)*L101</f>
        <v>0</v>
      </c>
      <c r="O101" s="3253"/>
      <c r="P101" s="1081">
        <v>579118175</v>
      </c>
      <c r="Q101" s="1081">
        <v>579118175</v>
      </c>
      <c r="R101" s="853">
        <v>0</v>
      </c>
      <c r="S101" s="853">
        <v>0</v>
      </c>
      <c r="T101" s="886">
        <f t="shared" si="35"/>
        <v>0</v>
      </c>
      <c r="U101" s="886">
        <f t="shared" si="35"/>
        <v>0</v>
      </c>
      <c r="V101" s="857"/>
      <c r="W101" s="857"/>
      <c r="X101" s="857" t="s">
        <v>4188</v>
      </c>
      <c r="Y101" s="3076" t="s">
        <v>4189</v>
      </c>
    </row>
    <row r="102" spans="1:25" ht="92.4">
      <c r="A102" s="3076"/>
      <c r="B102" s="852"/>
      <c r="C102" s="3251"/>
      <c r="D102" s="3042"/>
      <c r="E102" s="878" t="s">
        <v>4190</v>
      </c>
      <c r="F102" s="857"/>
      <c r="G102" s="3042"/>
      <c r="H102" s="3076"/>
      <c r="I102" s="857" t="s">
        <v>4191</v>
      </c>
      <c r="J102" s="857" t="s">
        <v>4192</v>
      </c>
      <c r="K102" s="858">
        <v>1</v>
      </c>
      <c r="L102" s="854">
        <v>0.39</v>
      </c>
      <c r="M102" s="853">
        <v>0</v>
      </c>
      <c r="N102" s="2209">
        <f>(M102/K102)*L102</f>
        <v>0</v>
      </c>
      <c r="O102" s="3253"/>
      <c r="P102" s="1081">
        <v>370881825</v>
      </c>
      <c r="Q102" s="1081">
        <v>370881825</v>
      </c>
      <c r="R102" s="853">
        <v>66997125</v>
      </c>
      <c r="S102" s="853">
        <v>0</v>
      </c>
      <c r="T102" s="886">
        <f t="shared" si="35"/>
        <v>0.18064278291339836</v>
      </c>
      <c r="U102" s="886">
        <f t="shared" si="35"/>
        <v>0</v>
      </c>
      <c r="V102" s="856">
        <v>45338</v>
      </c>
      <c r="W102" s="856">
        <v>45657</v>
      </c>
      <c r="X102" s="857" t="s">
        <v>4193</v>
      </c>
      <c r="Y102" s="3076"/>
    </row>
    <row r="103" spans="1:25">
      <c r="A103" s="3076">
        <v>4162</v>
      </c>
      <c r="B103" s="852"/>
      <c r="C103" s="3251" t="s">
        <v>123</v>
      </c>
      <c r="D103" s="3042" t="s">
        <v>4194</v>
      </c>
      <c r="E103" s="878" t="s">
        <v>4195</v>
      </c>
      <c r="F103" s="857"/>
      <c r="G103" s="857"/>
      <c r="H103" s="858"/>
      <c r="I103" s="857"/>
      <c r="J103" s="857"/>
      <c r="K103" s="858"/>
      <c r="L103" s="854">
        <f>SUM(L104:L105)</f>
        <v>1</v>
      </c>
      <c r="M103" s="853">
        <f>SUM(M104:M105)</f>
        <v>0</v>
      </c>
      <c r="N103" s="2209">
        <f>SUM(N104:N105)</f>
        <v>0</v>
      </c>
      <c r="O103" s="3253">
        <f>IF(Q103&gt;0,N103,"na")</f>
        <v>0</v>
      </c>
      <c r="P103" s="1081">
        <f>SUM(P104:P105)</f>
        <v>7533301400</v>
      </c>
      <c r="Q103" s="1081">
        <f t="shared" ref="Q103:S103" si="37">SUM(Q104:Q105)</f>
        <v>7533301400</v>
      </c>
      <c r="R103" s="1081">
        <f t="shared" si="37"/>
        <v>894001000</v>
      </c>
      <c r="S103" s="1081">
        <f t="shared" si="37"/>
        <v>454950000</v>
      </c>
      <c r="T103" s="886">
        <f t="shared" si="35"/>
        <v>0.11867320216339679</v>
      </c>
      <c r="U103" s="886">
        <f t="shared" si="35"/>
        <v>0.50889204821918543</v>
      </c>
      <c r="V103" s="857"/>
      <c r="W103" s="857"/>
      <c r="X103" s="857"/>
      <c r="Y103" s="858"/>
    </row>
    <row r="104" spans="1:25" ht="92.4">
      <c r="A104" s="3076"/>
      <c r="B104" s="852"/>
      <c r="C104" s="3251"/>
      <c r="D104" s="3042"/>
      <c r="E104" s="878" t="s">
        <v>4196</v>
      </c>
      <c r="F104" s="857"/>
      <c r="G104" s="3042" t="s">
        <v>4185</v>
      </c>
      <c r="H104" s="1107"/>
      <c r="I104" s="857" t="s">
        <v>4197</v>
      </c>
      <c r="J104" s="857" t="s">
        <v>4198</v>
      </c>
      <c r="K104" s="858">
        <v>3</v>
      </c>
      <c r="L104" s="854">
        <v>0.73</v>
      </c>
      <c r="M104" s="853">
        <v>0</v>
      </c>
      <c r="N104" s="2209">
        <f>(M104/K104)*L104</f>
        <v>0</v>
      </c>
      <c r="O104" s="3253"/>
      <c r="P104" s="1081">
        <v>5535234480</v>
      </c>
      <c r="Q104" s="1081">
        <v>5535234480</v>
      </c>
      <c r="R104" s="853">
        <v>894001000</v>
      </c>
      <c r="S104" s="853">
        <v>454950000</v>
      </c>
      <c r="T104" s="886">
        <f t="shared" si="35"/>
        <v>0.16151095373289406</v>
      </c>
      <c r="U104" s="886">
        <f t="shared" si="35"/>
        <v>0.50889204821918543</v>
      </c>
      <c r="V104" s="856">
        <v>45317</v>
      </c>
      <c r="W104" s="856">
        <v>45657</v>
      </c>
      <c r="X104" s="857" t="s">
        <v>4199</v>
      </c>
      <c r="Y104" s="3076" t="s">
        <v>4189</v>
      </c>
    </row>
    <row r="105" spans="1:25" ht="39.6">
      <c r="A105" s="3076"/>
      <c r="B105" s="852"/>
      <c r="C105" s="3251"/>
      <c r="D105" s="3042"/>
      <c r="E105" s="878" t="s">
        <v>4200</v>
      </c>
      <c r="F105" s="857"/>
      <c r="G105" s="3042"/>
      <c r="H105" s="1107"/>
      <c r="I105" s="857" t="s">
        <v>4201</v>
      </c>
      <c r="J105" s="857" t="s">
        <v>4202</v>
      </c>
      <c r="K105" s="858">
        <v>1</v>
      </c>
      <c r="L105" s="854">
        <v>0.27</v>
      </c>
      <c r="M105" s="853">
        <v>0</v>
      </c>
      <c r="N105" s="2209">
        <f>(M105/K105)*L105</f>
        <v>0</v>
      </c>
      <c r="O105" s="3253"/>
      <c r="P105" s="1081">
        <v>1998066920</v>
      </c>
      <c r="Q105" s="1081">
        <v>1998066920</v>
      </c>
      <c r="R105" s="853">
        <v>0</v>
      </c>
      <c r="S105" s="853">
        <v>0</v>
      </c>
      <c r="T105" s="886">
        <f t="shared" si="35"/>
        <v>0</v>
      </c>
      <c r="U105" s="886">
        <f t="shared" si="35"/>
        <v>0</v>
      </c>
      <c r="V105" s="857"/>
      <c r="W105" s="857"/>
      <c r="X105" s="857" t="s">
        <v>4203</v>
      </c>
      <c r="Y105" s="3076"/>
    </row>
    <row r="106" spans="1:25">
      <c r="A106" s="3076">
        <v>4162</v>
      </c>
      <c r="B106" s="852"/>
      <c r="C106" s="3251" t="s">
        <v>123</v>
      </c>
      <c r="D106" s="3042" t="s">
        <v>4204</v>
      </c>
      <c r="E106" s="878" t="s">
        <v>4205</v>
      </c>
      <c r="F106" s="857"/>
      <c r="G106" s="857"/>
      <c r="H106" s="858"/>
      <c r="I106" s="857"/>
      <c r="J106" s="857"/>
      <c r="K106" s="858"/>
      <c r="L106" s="854">
        <f>SUM(L107:L108)</f>
        <v>1</v>
      </c>
      <c r="M106" s="853">
        <f>SUM(M107:M108)</f>
        <v>0</v>
      </c>
      <c r="N106" s="2209">
        <f>SUM(N107:N108)</f>
        <v>0</v>
      </c>
      <c r="O106" s="3253">
        <f>IF(Q106&gt;0,N106,"na")</f>
        <v>0</v>
      </c>
      <c r="P106" s="1081">
        <f>SUM(P107:P108)</f>
        <v>4485950931</v>
      </c>
      <c r="Q106" s="1081">
        <f t="shared" ref="Q106:S106" si="38">SUM(Q107:Q108)</f>
        <v>4485950931</v>
      </c>
      <c r="R106" s="1081">
        <f t="shared" si="38"/>
        <v>813051788</v>
      </c>
      <c r="S106" s="1081">
        <f t="shared" si="38"/>
        <v>254944000</v>
      </c>
      <c r="T106" s="886">
        <f t="shared" si="35"/>
        <v>0.18124402172601473</v>
      </c>
      <c r="U106" s="886">
        <f t="shared" si="35"/>
        <v>0.31356428183637425</v>
      </c>
      <c r="V106" s="857"/>
      <c r="W106" s="857"/>
      <c r="X106" s="857"/>
      <c r="Y106" s="858"/>
    </row>
    <row r="107" spans="1:25" ht="105.6">
      <c r="A107" s="3076"/>
      <c r="B107" s="852"/>
      <c r="C107" s="3251"/>
      <c r="D107" s="3042"/>
      <c r="E107" s="878" t="s">
        <v>4206</v>
      </c>
      <c r="F107" s="857"/>
      <c r="G107" s="3042" t="s">
        <v>4185</v>
      </c>
      <c r="H107" s="1107"/>
      <c r="I107" s="857" t="s">
        <v>4207</v>
      </c>
      <c r="J107" s="857" t="s">
        <v>4208</v>
      </c>
      <c r="K107" s="858">
        <v>4</v>
      </c>
      <c r="L107" s="854">
        <v>0.95</v>
      </c>
      <c r="M107" s="853">
        <v>0</v>
      </c>
      <c r="N107" s="2209">
        <f>(M107/K107)*L107</f>
        <v>0</v>
      </c>
      <c r="O107" s="3253"/>
      <c r="P107" s="1081">
        <v>4269139900</v>
      </c>
      <c r="Q107" s="1081">
        <v>4269139900</v>
      </c>
      <c r="R107" s="853">
        <v>813051788</v>
      </c>
      <c r="S107" s="853">
        <v>254944000</v>
      </c>
      <c r="T107" s="886">
        <f t="shared" si="35"/>
        <v>0.19044861659370779</v>
      </c>
      <c r="U107" s="886">
        <f t="shared" si="35"/>
        <v>0.31356428183637425</v>
      </c>
      <c r="V107" s="856">
        <v>45317</v>
      </c>
      <c r="W107" s="856">
        <v>45657</v>
      </c>
      <c r="X107" s="857" t="s">
        <v>4209</v>
      </c>
      <c r="Y107" s="3076" t="s">
        <v>4189</v>
      </c>
    </row>
    <row r="108" spans="1:25" ht="52.8">
      <c r="A108" s="3076"/>
      <c r="B108" s="852"/>
      <c r="C108" s="3251"/>
      <c r="D108" s="3042"/>
      <c r="E108" s="878" t="s">
        <v>4210</v>
      </c>
      <c r="F108" s="857"/>
      <c r="G108" s="3042"/>
      <c r="H108" s="1107"/>
      <c r="I108" s="857" t="s">
        <v>4211</v>
      </c>
      <c r="J108" s="857" t="s">
        <v>4212</v>
      </c>
      <c r="K108" s="858">
        <v>1</v>
      </c>
      <c r="L108" s="854">
        <v>0.05</v>
      </c>
      <c r="M108" s="853">
        <v>0</v>
      </c>
      <c r="N108" s="2209">
        <f>(M108/K108)*L108</f>
        <v>0</v>
      </c>
      <c r="O108" s="3253"/>
      <c r="P108" s="1081">
        <v>216811031</v>
      </c>
      <c r="Q108" s="1081">
        <v>216811031</v>
      </c>
      <c r="R108" s="853">
        <v>0</v>
      </c>
      <c r="S108" s="853">
        <v>0</v>
      </c>
      <c r="T108" s="886">
        <f t="shared" si="35"/>
        <v>0</v>
      </c>
      <c r="U108" s="886">
        <f t="shared" si="35"/>
        <v>0</v>
      </c>
      <c r="V108" s="857"/>
      <c r="W108" s="857"/>
      <c r="X108" s="857" t="s">
        <v>4213</v>
      </c>
      <c r="Y108" s="3076"/>
    </row>
    <row r="109" spans="1:25">
      <c r="A109" s="3076">
        <v>4162</v>
      </c>
      <c r="B109" s="852"/>
      <c r="C109" s="3251" t="s">
        <v>123</v>
      </c>
      <c r="D109" s="3042" t="s">
        <v>4214</v>
      </c>
      <c r="E109" s="878" t="s">
        <v>4215</v>
      </c>
      <c r="F109" s="857"/>
      <c r="G109" s="857"/>
      <c r="H109" s="858"/>
      <c r="I109" s="857"/>
      <c r="J109" s="857"/>
      <c r="K109" s="858"/>
      <c r="L109" s="854">
        <f>SUM(L110:L111)</f>
        <v>1</v>
      </c>
      <c r="M109" s="853">
        <f>SUM(M110:M111)</f>
        <v>0</v>
      </c>
      <c r="N109" s="2209">
        <f>SUM(N110:N111)</f>
        <v>0</v>
      </c>
      <c r="O109" s="3253">
        <f>IF(Q109&gt;0,N109,"na")</f>
        <v>0</v>
      </c>
      <c r="P109" s="1081">
        <f>SUM(P110:P111)</f>
        <v>7430283916</v>
      </c>
      <c r="Q109" s="1081">
        <f t="shared" ref="Q109:S109" si="39">SUM(Q110:Q111)</f>
        <v>7430283916</v>
      </c>
      <c r="R109" s="1081">
        <f t="shared" si="39"/>
        <v>218212000</v>
      </c>
      <c r="S109" s="1081">
        <f t="shared" si="39"/>
        <v>18034000</v>
      </c>
      <c r="T109" s="886">
        <f t="shared" si="35"/>
        <v>2.9367922204172205E-2</v>
      </c>
      <c r="U109" s="886">
        <f t="shared" si="35"/>
        <v>8.2644400857881328E-2</v>
      </c>
      <c r="V109" s="857"/>
      <c r="W109" s="857"/>
      <c r="X109" s="857"/>
      <c r="Y109" s="858"/>
    </row>
    <row r="110" spans="1:25" ht="145.19999999999999">
      <c r="A110" s="3076"/>
      <c r="B110" s="852"/>
      <c r="C110" s="3251"/>
      <c r="D110" s="3042"/>
      <c r="E110" s="878" t="s">
        <v>4216</v>
      </c>
      <c r="F110" s="857"/>
      <c r="G110" s="3042" t="s">
        <v>4185</v>
      </c>
      <c r="H110" s="1107"/>
      <c r="I110" s="857" t="s">
        <v>4217</v>
      </c>
      <c r="J110" s="857" t="s">
        <v>2137</v>
      </c>
      <c r="K110" s="858">
        <v>300</v>
      </c>
      <c r="L110" s="854">
        <v>0.62</v>
      </c>
      <c r="M110" s="853">
        <v>0</v>
      </c>
      <c r="N110" s="2209">
        <f>(M110/K110)*L110</f>
        <v>0</v>
      </c>
      <c r="O110" s="3253"/>
      <c r="P110" s="1081">
        <v>4587987868</v>
      </c>
      <c r="Q110" s="1081">
        <v>4587987868</v>
      </c>
      <c r="R110" s="853">
        <v>218212000</v>
      </c>
      <c r="S110" s="853">
        <v>18034000</v>
      </c>
      <c r="T110" s="886">
        <f t="shared" si="35"/>
        <v>4.7561590457108852E-2</v>
      </c>
      <c r="U110" s="886">
        <f t="shared" si="35"/>
        <v>8.2644400857881328E-2</v>
      </c>
      <c r="V110" s="856">
        <v>45349</v>
      </c>
      <c r="W110" s="856">
        <v>45657</v>
      </c>
      <c r="X110" s="857" t="s">
        <v>4218</v>
      </c>
      <c r="Y110" s="3076" t="s">
        <v>4189</v>
      </c>
    </row>
    <row r="111" spans="1:25" ht="39.6">
      <c r="A111" s="3076"/>
      <c r="B111" s="852"/>
      <c r="C111" s="3251"/>
      <c r="D111" s="3042"/>
      <c r="E111" s="878" t="s">
        <v>4219</v>
      </c>
      <c r="F111" s="857"/>
      <c r="G111" s="3042"/>
      <c r="H111" s="1107"/>
      <c r="I111" s="857" t="s">
        <v>4220</v>
      </c>
      <c r="J111" s="857" t="s">
        <v>2601</v>
      </c>
      <c r="K111" s="858">
        <v>15</v>
      </c>
      <c r="L111" s="854">
        <v>0.38</v>
      </c>
      <c r="M111" s="853">
        <v>0</v>
      </c>
      <c r="N111" s="2209">
        <f>(M111/K111)*L111</f>
        <v>0</v>
      </c>
      <c r="O111" s="3253"/>
      <c r="P111" s="1081">
        <v>2842296048</v>
      </c>
      <c r="Q111" s="1081">
        <v>2842296048</v>
      </c>
      <c r="R111" s="853">
        <v>0</v>
      </c>
      <c r="S111" s="853">
        <v>0</v>
      </c>
      <c r="T111" s="886">
        <f t="shared" si="35"/>
        <v>0</v>
      </c>
      <c r="U111" s="886">
        <f t="shared" si="35"/>
        <v>0</v>
      </c>
      <c r="V111" s="857"/>
      <c r="W111" s="857"/>
      <c r="X111" s="857" t="s">
        <v>4221</v>
      </c>
      <c r="Y111" s="3076"/>
    </row>
    <row r="112" spans="1:25">
      <c r="A112" s="3076">
        <v>4162</v>
      </c>
      <c r="B112" s="852"/>
      <c r="C112" s="3251" t="s">
        <v>123</v>
      </c>
      <c r="D112" s="3066" t="s">
        <v>4222</v>
      </c>
      <c r="E112" s="878" t="s">
        <v>4223</v>
      </c>
      <c r="F112" s="857"/>
      <c r="G112" s="857"/>
      <c r="H112" s="858"/>
      <c r="I112" s="857"/>
      <c r="J112" s="857"/>
      <c r="K112" s="858"/>
      <c r="L112" s="854">
        <f>SUM(L113)</f>
        <v>1</v>
      </c>
      <c r="M112" s="853">
        <f>M113</f>
        <v>0</v>
      </c>
      <c r="N112" s="2209">
        <f>N113</f>
        <v>0</v>
      </c>
      <c r="O112" s="3253">
        <f>IF(Q112&gt;0,N112,"na")</f>
        <v>0</v>
      </c>
      <c r="P112" s="1081">
        <f>SUM(P113)</f>
        <v>967619272</v>
      </c>
      <c r="Q112" s="1081">
        <f t="shared" ref="Q112:S112" si="40">SUM(Q113)</f>
        <v>967619272</v>
      </c>
      <c r="R112" s="1081">
        <f t="shared" si="40"/>
        <v>0</v>
      </c>
      <c r="S112" s="1081">
        <f t="shared" si="40"/>
        <v>0</v>
      </c>
      <c r="T112" s="886">
        <f t="shared" si="35"/>
        <v>0</v>
      </c>
      <c r="U112" s="886">
        <f t="shared" si="35"/>
        <v>0</v>
      </c>
      <c r="V112" s="857"/>
      <c r="W112" s="857"/>
      <c r="X112" s="857"/>
      <c r="Y112" s="858"/>
    </row>
    <row r="113" spans="1:25" ht="105.6">
      <c r="A113" s="3076"/>
      <c r="B113" s="852"/>
      <c r="C113" s="3251"/>
      <c r="D113" s="3066"/>
      <c r="E113" s="878" t="s">
        <v>4224</v>
      </c>
      <c r="F113" s="857"/>
      <c r="G113" s="857" t="s">
        <v>4185</v>
      </c>
      <c r="H113" s="1107"/>
      <c r="I113" s="857" t="s">
        <v>4225</v>
      </c>
      <c r="J113" s="857" t="s">
        <v>4226</v>
      </c>
      <c r="K113" s="858">
        <v>3</v>
      </c>
      <c r="L113" s="854">
        <v>1</v>
      </c>
      <c r="M113" s="853">
        <v>0</v>
      </c>
      <c r="N113" s="2209">
        <f>(M113/K113)*L113</f>
        <v>0</v>
      </c>
      <c r="O113" s="3253"/>
      <c r="P113" s="1081">
        <v>967619272</v>
      </c>
      <c r="Q113" s="1081">
        <v>967619272</v>
      </c>
      <c r="R113" s="853">
        <v>0</v>
      </c>
      <c r="S113" s="853">
        <v>0</v>
      </c>
      <c r="T113" s="886">
        <f t="shared" si="35"/>
        <v>0</v>
      </c>
      <c r="U113" s="886">
        <f t="shared" si="35"/>
        <v>0</v>
      </c>
      <c r="V113" s="857"/>
      <c r="W113" s="857"/>
      <c r="X113" s="857" t="s">
        <v>4227</v>
      </c>
      <c r="Y113" s="858" t="s">
        <v>4189</v>
      </c>
    </row>
    <row r="114" spans="1:25">
      <c r="A114" s="3076">
        <v>4162</v>
      </c>
      <c r="B114" s="852"/>
      <c r="C114" s="3251" t="s">
        <v>123</v>
      </c>
      <c r="D114" s="3066" t="s">
        <v>4228</v>
      </c>
      <c r="E114" s="878" t="s">
        <v>4229</v>
      </c>
      <c r="F114" s="857"/>
      <c r="G114" s="857"/>
      <c r="H114" s="858"/>
      <c r="I114" s="857"/>
      <c r="J114" s="857"/>
      <c r="K114" s="858"/>
      <c r="L114" s="854">
        <f>SUM(L115)</f>
        <v>1</v>
      </c>
      <c r="M114" s="853">
        <f>M115</f>
        <v>0</v>
      </c>
      <c r="N114" s="2209">
        <f>N115</f>
        <v>0</v>
      </c>
      <c r="O114" s="3253">
        <f>IF(Q114&gt;0,N114,"na")</f>
        <v>0</v>
      </c>
      <c r="P114" s="1081">
        <f>SUM(P115)</f>
        <v>664558224</v>
      </c>
      <c r="Q114" s="1081">
        <f t="shared" ref="Q114:S114" si="41">SUM(Q115)</f>
        <v>664558224</v>
      </c>
      <c r="R114" s="1081">
        <f t="shared" si="41"/>
        <v>0</v>
      </c>
      <c r="S114" s="1081">
        <f t="shared" si="41"/>
        <v>0</v>
      </c>
      <c r="T114" s="886">
        <f t="shared" si="35"/>
        <v>0</v>
      </c>
      <c r="U114" s="886">
        <f t="shared" si="35"/>
        <v>0</v>
      </c>
      <c r="V114" s="857"/>
      <c r="W114" s="857"/>
      <c r="X114" s="857"/>
      <c r="Y114" s="858"/>
    </row>
    <row r="115" spans="1:25" ht="105.6">
      <c r="A115" s="3076"/>
      <c r="B115" s="852"/>
      <c r="C115" s="3251"/>
      <c r="D115" s="3066"/>
      <c r="E115" s="878" t="s">
        <v>4230</v>
      </c>
      <c r="F115" s="857"/>
      <c r="G115" s="857" t="s">
        <v>4185</v>
      </c>
      <c r="H115" s="1107"/>
      <c r="I115" s="857" t="s">
        <v>4231</v>
      </c>
      <c r="J115" s="857" t="s">
        <v>4226</v>
      </c>
      <c r="K115" s="858">
        <v>2</v>
      </c>
      <c r="L115" s="854">
        <v>1</v>
      </c>
      <c r="M115" s="853">
        <v>0</v>
      </c>
      <c r="N115" s="2209">
        <f>(M115/K115)*L115</f>
        <v>0</v>
      </c>
      <c r="O115" s="3253"/>
      <c r="P115" s="1081">
        <v>664558224</v>
      </c>
      <c r="Q115" s="853">
        <v>664558224</v>
      </c>
      <c r="R115" s="853">
        <v>0</v>
      </c>
      <c r="S115" s="853">
        <v>0</v>
      </c>
      <c r="T115" s="886">
        <f t="shared" si="35"/>
        <v>0</v>
      </c>
      <c r="U115" s="886">
        <f t="shared" si="35"/>
        <v>0</v>
      </c>
      <c r="V115" s="857"/>
      <c r="W115" s="857"/>
      <c r="X115" s="857" t="s">
        <v>4227</v>
      </c>
      <c r="Y115" s="858" t="s">
        <v>4189</v>
      </c>
    </row>
    <row r="116" spans="1:25">
      <c r="A116" s="3076">
        <v>4162</v>
      </c>
      <c r="B116" s="852"/>
      <c r="C116" s="3251" t="s">
        <v>123</v>
      </c>
      <c r="D116" s="3066" t="s">
        <v>4232</v>
      </c>
      <c r="E116" s="878" t="s">
        <v>4233</v>
      </c>
      <c r="F116" s="857"/>
      <c r="G116" s="857"/>
      <c r="H116" s="858"/>
      <c r="I116" s="857"/>
      <c r="J116" s="857"/>
      <c r="K116" s="858"/>
      <c r="L116" s="854">
        <f>SUM(L117)</f>
        <v>1</v>
      </c>
      <c r="M116" s="853">
        <f>M117</f>
        <v>0</v>
      </c>
      <c r="N116" s="2209">
        <f>N117</f>
        <v>0</v>
      </c>
      <c r="O116" s="3253">
        <f>IF(Q116&gt;0,N116,"na")</f>
        <v>0</v>
      </c>
      <c r="P116" s="1081">
        <f>SUM(P117)</f>
        <v>639506738</v>
      </c>
      <c r="Q116" s="1081">
        <f t="shared" ref="Q116:S116" si="42">SUM(Q117)</f>
        <v>639506738</v>
      </c>
      <c r="R116" s="1081">
        <f t="shared" si="42"/>
        <v>0</v>
      </c>
      <c r="S116" s="1081">
        <f t="shared" si="42"/>
        <v>0</v>
      </c>
      <c r="T116" s="886">
        <f t="shared" si="35"/>
        <v>0</v>
      </c>
      <c r="U116" s="886">
        <f t="shared" si="35"/>
        <v>0</v>
      </c>
      <c r="V116" s="857"/>
      <c r="W116" s="857"/>
      <c r="X116" s="857"/>
      <c r="Y116" s="858"/>
    </row>
    <row r="117" spans="1:25" ht="105.6">
      <c r="A117" s="3076"/>
      <c r="B117" s="852"/>
      <c r="C117" s="3251"/>
      <c r="D117" s="3066"/>
      <c r="E117" s="878" t="s">
        <v>4234</v>
      </c>
      <c r="F117" s="857"/>
      <c r="G117" s="857" t="s">
        <v>4185</v>
      </c>
      <c r="H117" s="1107"/>
      <c r="I117" s="857" t="s">
        <v>4231</v>
      </c>
      <c r="J117" s="857" t="s">
        <v>4226</v>
      </c>
      <c r="K117" s="858">
        <v>2</v>
      </c>
      <c r="L117" s="854">
        <v>1</v>
      </c>
      <c r="M117" s="853">
        <v>0</v>
      </c>
      <c r="N117" s="2209">
        <f>(M117/K117)*L117</f>
        <v>0</v>
      </c>
      <c r="O117" s="3253"/>
      <c r="P117" s="1081">
        <v>639506738</v>
      </c>
      <c r="Q117" s="853">
        <v>639506738</v>
      </c>
      <c r="R117" s="853">
        <v>0</v>
      </c>
      <c r="S117" s="853">
        <v>0</v>
      </c>
      <c r="T117" s="886">
        <f t="shared" si="35"/>
        <v>0</v>
      </c>
      <c r="U117" s="886">
        <f t="shared" si="35"/>
        <v>0</v>
      </c>
      <c r="V117" s="857"/>
      <c r="W117" s="857"/>
      <c r="X117" s="857" t="s">
        <v>4227</v>
      </c>
      <c r="Y117" s="858" t="s">
        <v>4189</v>
      </c>
    </row>
    <row r="118" spans="1:25">
      <c r="A118" s="3076">
        <v>4162</v>
      </c>
      <c r="B118" s="852"/>
      <c r="C118" s="3251" t="s">
        <v>123</v>
      </c>
      <c r="D118" s="3066" t="s">
        <v>4235</v>
      </c>
      <c r="E118" s="878" t="s">
        <v>4236</v>
      </c>
      <c r="F118" s="857"/>
      <c r="G118" s="857"/>
      <c r="H118" s="858"/>
      <c r="I118" s="857"/>
      <c r="J118" s="857"/>
      <c r="K118" s="858"/>
      <c r="L118" s="854">
        <f>SUM(L119)</f>
        <v>1</v>
      </c>
      <c r="M118" s="853">
        <f>M119</f>
        <v>0</v>
      </c>
      <c r="N118" s="2209">
        <f>N119</f>
        <v>0</v>
      </c>
      <c r="O118" s="3253">
        <f>IF(Q118&gt;0,N118,"na")</f>
        <v>0</v>
      </c>
      <c r="P118" s="1081">
        <f>SUM(P119)</f>
        <v>638593460</v>
      </c>
      <c r="Q118" s="1081">
        <f t="shared" ref="Q118:S118" si="43">SUM(Q119)</f>
        <v>638593460</v>
      </c>
      <c r="R118" s="1081">
        <f t="shared" si="43"/>
        <v>0</v>
      </c>
      <c r="S118" s="1081">
        <f t="shared" si="43"/>
        <v>0</v>
      </c>
      <c r="T118" s="886">
        <f t="shared" si="35"/>
        <v>0</v>
      </c>
      <c r="U118" s="886">
        <f t="shared" si="35"/>
        <v>0</v>
      </c>
      <c r="V118" s="857"/>
      <c r="W118" s="857"/>
      <c r="X118" s="857"/>
      <c r="Y118" s="858"/>
    </row>
    <row r="119" spans="1:25" ht="105.6">
      <c r="A119" s="3076"/>
      <c r="B119" s="852"/>
      <c r="C119" s="3251"/>
      <c r="D119" s="3066"/>
      <c r="E119" s="878" t="s">
        <v>4237</v>
      </c>
      <c r="F119" s="857"/>
      <c r="G119" s="857" t="s">
        <v>4185</v>
      </c>
      <c r="H119" s="1107"/>
      <c r="I119" s="857" t="s">
        <v>4225</v>
      </c>
      <c r="J119" s="857" t="s">
        <v>4226</v>
      </c>
      <c r="K119" s="858">
        <v>3</v>
      </c>
      <c r="L119" s="854">
        <v>1</v>
      </c>
      <c r="M119" s="853">
        <v>0</v>
      </c>
      <c r="N119" s="2209">
        <f>(M119/K119)*L119</f>
        <v>0</v>
      </c>
      <c r="O119" s="3253"/>
      <c r="P119" s="1081">
        <v>638593460</v>
      </c>
      <c r="Q119" s="1081">
        <v>638593460</v>
      </c>
      <c r="R119" s="853">
        <v>0</v>
      </c>
      <c r="S119" s="853">
        <v>0</v>
      </c>
      <c r="T119" s="886">
        <f t="shared" si="35"/>
        <v>0</v>
      </c>
      <c r="U119" s="886">
        <f t="shared" si="35"/>
        <v>0</v>
      </c>
      <c r="V119" s="857"/>
      <c r="W119" s="857"/>
      <c r="X119" s="857" t="s">
        <v>4227</v>
      </c>
      <c r="Y119" s="858" t="s">
        <v>4189</v>
      </c>
    </row>
    <row r="120" spans="1:25">
      <c r="A120" s="3076">
        <v>4162</v>
      </c>
      <c r="B120" s="852"/>
      <c r="C120" s="3251" t="s">
        <v>123</v>
      </c>
      <c r="D120" s="3066" t="s">
        <v>4238</v>
      </c>
      <c r="E120" s="878" t="s">
        <v>4239</v>
      </c>
      <c r="F120" s="857"/>
      <c r="G120" s="857"/>
      <c r="H120" s="858"/>
      <c r="I120" s="857"/>
      <c r="J120" s="857"/>
      <c r="K120" s="858"/>
      <c r="L120" s="854">
        <f>SUM(L121)</f>
        <v>1</v>
      </c>
      <c r="M120" s="853">
        <f>M121</f>
        <v>0</v>
      </c>
      <c r="N120" s="2209">
        <f>N121</f>
        <v>0</v>
      </c>
      <c r="O120" s="3253">
        <f>IF(Q120&gt;0,N120,"na")</f>
        <v>0</v>
      </c>
      <c r="P120" s="1081">
        <f>SUM(P121)</f>
        <v>356949426</v>
      </c>
      <c r="Q120" s="1081">
        <f t="shared" ref="Q120:S120" si="44">SUM(Q121)</f>
        <v>356949426</v>
      </c>
      <c r="R120" s="1081">
        <f t="shared" si="44"/>
        <v>0</v>
      </c>
      <c r="S120" s="1081">
        <f t="shared" si="44"/>
        <v>0</v>
      </c>
      <c r="T120" s="886">
        <f t="shared" si="35"/>
        <v>0</v>
      </c>
      <c r="U120" s="886">
        <f t="shared" si="35"/>
        <v>0</v>
      </c>
      <c r="V120" s="857"/>
      <c r="W120" s="857"/>
      <c r="X120" s="857"/>
      <c r="Y120" s="858"/>
    </row>
    <row r="121" spans="1:25" ht="105.6">
      <c r="A121" s="3076"/>
      <c r="B121" s="852"/>
      <c r="C121" s="3251"/>
      <c r="D121" s="3066"/>
      <c r="E121" s="878" t="s">
        <v>4240</v>
      </c>
      <c r="F121" s="857"/>
      <c r="G121" s="857" t="s">
        <v>4185</v>
      </c>
      <c r="H121" s="1107"/>
      <c r="I121" s="857" t="s">
        <v>4241</v>
      </c>
      <c r="J121" s="857" t="s">
        <v>4242</v>
      </c>
      <c r="K121" s="858">
        <v>4</v>
      </c>
      <c r="L121" s="854">
        <v>1</v>
      </c>
      <c r="M121" s="853">
        <v>0</v>
      </c>
      <c r="N121" s="2209">
        <f>(M121/K121)*L121</f>
        <v>0</v>
      </c>
      <c r="O121" s="3253"/>
      <c r="P121" s="1081">
        <v>356949426</v>
      </c>
      <c r="Q121" s="853">
        <v>356949426</v>
      </c>
      <c r="R121" s="853">
        <v>0</v>
      </c>
      <c r="S121" s="853">
        <v>0</v>
      </c>
      <c r="T121" s="886">
        <f t="shared" si="35"/>
        <v>0</v>
      </c>
      <c r="U121" s="886">
        <f t="shared" si="35"/>
        <v>0</v>
      </c>
      <c r="V121" s="857"/>
      <c r="W121" s="857"/>
      <c r="X121" s="857" t="s">
        <v>4227</v>
      </c>
      <c r="Y121" s="858" t="s">
        <v>4189</v>
      </c>
    </row>
    <row r="122" spans="1:25">
      <c r="A122" s="3076">
        <v>4162</v>
      </c>
      <c r="B122" s="852"/>
      <c r="C122" s="3251" t="s">
        <v>123</v>
      </c>
      <c r="D122" s="3066" t="s">
        <v>4243</v>
      </c>
      <c r="E122" s="878" t="s">
        <v>4244</v>
      </c>
      <c r="F122" s="857"/>
      <c r="G122" s="857"/>
      <c r="H122" s="858"/>
      <c r="I122" s="857"/>
      <c r="J122" s="857"/>
      <c r="K122" s="858"/>
      <c r="L122" s="854">
        <f>SUM(L123)</f>
        <v>1</v>
      </c>
      <c r="M122" s="853">
        <f>M123</f>
        <v>0</v>
      </c>
      <c r="N122" s="2209">
        <f>N123</f>
        <v>0</v>
      </c>
      <c r="O122" s="3253">
        <f>IF(Q122&gt;0,N122,"na")</f>
        <v>0</v>
      </c>
      <c r="P122" s="1081">
        <f>SUM(P123)</f>
        <v>693943838</v>
      </c>
      <c r="Q122" s="1081">
        <f t="shared" ref="Q122:S122" si="45">SUM(Q123)</f>
        <v>693943838</v>
      </c>
      <c r="R122" s="1081">
        <f t="shared" si="45"/>
        <v>0</v>
      </c>
      <c r="S122" s="1081">
        <f t="shared" si="45"/>
        <v>0</v>
      </c>
      <c r="T122" s="886">
        <f t="shared" si="35"/>
        <v>0</v>
      </c>
      <c r="U122" s="886">
        <f t="shared" si="35"/>
        <v>0</v>
      </c>
      <c r="V122" s="857"/>
      <c r="W122" s="857"/>
      <c r="X122" s="857"/>
      <c r="Y122" s="858"/>
    </row>
    <row r="123" spans="1:25" ht="105.6">
      <c r="A123" s="3076"/>
      <c r="B123" s="852"/>
      <c r="C123" s="3251"/>
      <c r="D123" s="3066"/>
      <c r="E123" s="878" t="s">
        <v>4245</v>
      </c>
      <c r="F123" s="857"/>
      <c r="G123" s="857" t="s">
        <v>4185</v>
      </c>
      <c r="H123" s="1107"/>
      <c r="I123" s="857" t="s">
        <v>4225</v>
      </c>
      <c r="J123" s="857" t="s">
        <v>4246</v>
      </c>
      <c r="K123" s="858">
        <v>3</v>
      </c>
      <c r="L123" s="854">
        <v>1</v>
      </c>
      <c r="M123" s="853">
        <v>0</v>
      </c>
      <c r="N123" s="2209">
        <f>(M123/K123)*L123</f>
        <v>0</v>
      </c>
      <c r="O123" s="3253"/>
      <c r="P123" s="1081">
        <v>693943838</v>
      </c>
      <c r="Q123" s="853">
        <v>693943838</v>
      </c>
      <c r="R123" s="853">
        <v>0</v>
      </c>
      <c r="S123" s="853">
        <v>0</v>
      </c>
      <c r="T123" s="886">
        <f t="shared" si="35"/>
        <v>0</v>
      </c>
      <c r="U123" s="886">
        <f t="shared" si="35"/>
        <v>0</v>
      </c>
      <c r="V123" s="857"/>
      <c r="W123" s="857"/>
      <c r="X123" s="857" t="s">
        <v>4227</v>
      </c>
      <c r="Y123" s="858" t="s">
        <v>4189</v>
      </c>
    </row>
    <row r="124" spans="1:25">
      <c r="A124" s="3076">
        <v>4162</v>
      </c>
      <c r="B124" s="852"/>
      <c r="C124" s="3251" t="s">
        <v>123</v>
      </c>
      <c r="D124" s="3066" t="s">
        <v>4247</v>
      </c>
      <c r="E124" s="878" t="s">
        <v>4248</v>
      </c>
      <c r="F124" s="857"/>
      <c r="G124" s="857"/>
      <c r="H124" s="858"/>
      <c r="I124" s="857"/>
      <c r="J124" s="857"/>
      <c r="K124" s="858"/>
      <c r="L124" s="854">
        <f>SUM(L125)</f>
        <v>1</v>
      </c>
      <c r="M124" s="853">
        <f>M125</f>
        <v>0</v>
      </c>
      <c r="N124" s="2209">
        <f>N125</f>
        <v>0</v>
      </c>
      <c r="O124" s="3253">
        <f>IF(Q124&gt;0,N124,"na")</f>
        <v>0</v>
      </c>
      <c r="P124" s="1081">
        <f>SUM(P125)</f>
        <v>334247705</v>
      </c>
      <c r="Q124" s="1081">
        <f t="shared" ref="Q124:S124" si="46">SUM(Q125)</f>
        <v>334247705</v>
      </c>
      <c r="R124" s="1081">
        <f t="shared" si="46"/>
        <v>0</v>
      </c>
      <c r="S124" s="1081">
        <f t="shared" si="46"/>
        <v>0</v>
      </c>
      <c r="T124" s="886">
        <f t="shared" si="35"/>
        <v>0</v>
      </c>
      <c r="U124" s="886">
        <f t="shared" si="35"/>
        <v>0</v>
      </c>
      <c r="V124" s="857"/>
      <c r="W124" s="857"/>
      <c r="X124" s="857"/>
      <c r="Y124" s="858"/>
    </row>
    <row r="125" spans="1:25" ht="105.6">
      <c r="A125" s="3076"/>
      <c r="B125" s="852"/>
      <c r="C125" s="3251"/>
      <c r="D125" s="3066"/>
      <c r="E125" s="878" t="s">
        <v>4249</v>
      </c>
      <c r="F125" s="857"/>
      <c r="G125" s="857" t="s">
        <v>4185</v>
      </c>
      <c r="H125" s="1107"/>
      <c r="I125" s="857" t="s">
        <v>4250</v>
      </c>
      <c r="J125" s="857" t="s">
        <v>4242</v>
      </c>
      <c r="K125" s="858">
        <v>3</v>
      </c>
      <c r="L125" s="854">
        <v>1</v>
      </c>
      <c r="M125" s="853">
        <v>0</v>
      </c>
      <c r="N125" s="2209">
        <f>(M125/K125)*L125</f>
        <v>0</v>
      </c>
      <c r="O125" s="3253"/>
      <c r="P125" s="1081">
        <v>334247705</v>
      </c>
      <c r="Q125" s="853">
        <v>334247705</v>
      </c>
      <c r="R125" s="853">
        <v>0</v>
      </c>
      <c r="S125" s="853">
        <v>0</v>
      </c>
      <c r="T125" s="886">
        <f t="shared" si="35"/>
        <v>0</v>
      </c>
      <c r="U125" s="886">
        <f t="shared" si="35"/>
        <v>0</v>
      </c>
      <c r="V125" s="857"/>
      <c r="W125" s="857"/>
      <c r="X125" s="857" t="s">
        <v>4227</v>
      </c>
      <c r="Y125" s="858" t="s">
        <v>4189</v>
      </c>
    </row>
    <row r="126" spans="1:25">
      <c r="A126" s="3076">
        <v>4162</v>
      </c>
      <c r="B126" s="852"/>
      <c r="C126" s="3251" t="s">
        <v>123</v>
      </c>
      <c r="D126" s="3066" t="s">
        <v>4251</v>
      </c>
      <c r="E126" s="878" t="s">
        <v>4252</v>
      </c>
      <c r="F126" s="857"/>
      <c r="G126" s="857"/>
      <c r="H126" s="858"/>
      <c r="I126" s="857"/>
      <c r="J126" s="857"/>
      <c r="K126" s="858"/>
      <c r="L126" s="854">
        <f>SUM(L127)</f>
        <v>1</v>
      </c>
      <c r="M126" s="853">
        <f>M127</f>
        <v>0</v>
      </c>
      <c r="N126" s="2209">
        <f>N127</f>
        <v>0</v>
      </c>
      <c r="O126" s="3253">
        <f>IF(Q126&gt;0,N126,"na")</f>
        <v>0</v>
      </c>
      <c r="P126" s="1081">
        <f>SUM(P127)</f>
        <v>414508117</v>
      </c>
      <c r="Q126" s="1081">
        <f t="shared" ref="Q126:S126" si="47">SUM(Q127)</f>
        <v>414508117</v>
      </c>
      <c r="R126" s="1081">
        <f t="shared" si="47"/>
        <v>0</v>
      </c>
      <c r="S126" s="1081">
        <f t="shared" si="47"/>
        <v>0</v>
      </c>
      <c r="T126" s="886">
        <f t="shared" si="35"/>
        <v>0</v>
      </c>
      <c r="U126" s="886">
        <f t="shared" si="35"/>
        <v>0</v>
      </c>
      <c r="V126" s="857"/>
      <c r="W126" s="857"/>
      <c r="X126" s="857"/>
      <c r="Y126" s="858"/>
    </row>
    <row r="127" spans="1:25" ht="105.6">
      <c r="A127" s="3076"/>
      <c r="B127" s="852"/>
      <c r="C127" s="3251"/>
      <c r="D127" s="3066"/>
      <c r="E127" s="878" t="s">
        <v>4253</v>
      </c>
      <c r="F127" s="857"/>
      <c r="G127" s="857" t="s">
        <v>4185</v>
      </c>
      <c r="H127" s="1107"/>
      <c r="I127" s="857" t="s">
        <v>4231</v>
      </c>
      <c r="J127" s="857" t="s">
        <v>4254</v>
      </c>
      <c r="K127" s="858">
        <v>2</v>
      </c>
      <c r="L127" s="854">
        <v>1</v>
      </c>
      <c r="M127" s="853">
        <v>0</v>
      </c>
      <c r="N127" s="2209">
        <f>(M127/K127)*L127</f>
        <v>0</v>
      </c>
      <c r="O127" s="3253"/>
      <c r="P127" s="1081">
        <v>414508117</v>
      </c>
      <c r="Q127" s="853">
        <v>414508117</v>
      </c>
      <c r="R127" s="853">
        <v>0</v>
      </c>
      <c r="S127" s="853">
        <v>0</v>
      </c>
      <c r="T127" s="886">
        <f t="shared" si="35"/>
        <v>0</v>
      </c>
      <c r="U127" s="886">
        <f t="shared" si="35"/>
        <v>0</v>
      </c>
      <c r="V127" s="857"/>
      <c r="W127" s="857"/>
      <c r="X127" s="857" t="s">
        <v>4227</v>
      </c>
      <c r="Y127" s="858" t="s">
        <v>4189</v>
      </c>
    </row>
    <row r="128" spans="1:25">
      <c r="A128" s="3076">
        <v>4162</v>
      </c>
      <c r="B128" s="852"/>
      <c r="C128" s="3251" t="s">
        <v>123</v>
      </c>
      <c r="D128" s="3066" t="s">
        <v>4255</v>
      </c>
      <c r="E128" s="878" t="s">
        <v>4256</v>
      </c>
      <c r="F128" s="857"/>
      <c r="G128" s="857"/>
      <c r="H128" s="858"/>
      <c r="I128" s="857"/>
      <c r="J128" s="857"/>
      <c r="K128" s="858"/>
      <c r="L128" s="854">
        <f>SUM(L129)</f>
        <v>1</v>
      </c>
      <c r="M128" s="853">
        <f>M129</f>
        <v>0</v>
      </c>
      <c r="N128" s="2209">
        <f>N129</f>
        <v>0</v>
      </c>
      <c r="O128" s="3253">
        <f>IF(Q128&gt;0,N128,"na")</f>
        <v>0</v>
      </c>
      <c r="P128" s="1081">
        <f>SUM(P129)</f>
        <v>1035387800</v>
      </c>
      <c r="Q128" s="1081">
        <f t="shared" ref="Q128:S128" si="48">SUM(Q129)</f>
        <v>1035387800</v>
      </c>
      <c r="R128" s="1081">
        <f t="shared" si="48"/>
        <v>0</v>
      </c>
      <c r="S128" s="1081">
        <f t="shared" si="48"/>
        <v>0</v>
      </c>
      <c r="T128" s="886">
        <f t="shared" si="35"/>
        <v>0</v>
      </c>
      <c r="U128" s="886">
        <f t="shared" si="35"/>
        <v>0</v>
      </c>
      <c r="V128" s="857"/>
      <c r="W128" s="857"/>
      <c r="X128" s="857"/>
      <c r="Y128" s="858"/>
    </row>
    <row r="129" spans="1:25" ht="105.6">
      <c r="A129" s="3076"/>
      <c r="B129" s="852"/>
      <c r="C129" s="3251"/>
      <c r="D129" s="3066"/>
      <c r="E129" s="878" t="s">
        <v>4257</v>
      </c>
      <c r="F129" s="857"/>
      <c r="G129" s="857" t="s">
        <v>4185</v>
      </c>
      <c r="H129" s="1107"/>
      <c r="I129" s="857" t="s">
        <v>4225</v>
      </c>
      <c r="J129" s="857" t="s">
        <v>4254</v>
      </c>
      <c r="K129" s="858">
        <v>3</v>
      </c>
      <c r="L129" s="854">
        <v>1</v>
      </c>
      <c r="M129" s="853">
        <v>0</v>
      </c>
      <c r="N129" s="2209">
        <f>(M129/K129)*L129</f>
        <v>0</v>
      </c>
      <c r="O129" s="3253"/>
      <c r="P129" s="1081">
        <v>1035387800</v>
      </c>
      <c r="Q129" s="853">
        <v>1035387800</v>
      </c>
      <c r="R129" s="853">
        <v>0</v>
      </c>
      <c r="S129" s="853">
        <v>0</v>
      </c>
      <c r="T129" s="886">
        <f t="shared" si="35"/>
        <v>0</v>
      </c>
      <c r="U129" s="886">
        <f t="shared" si="35"/>
        <v>0</v>
      </c>
      <c r="V129" s="857"/>
      <c r="W129" s="857"/>
      <c r="X129" s="857" t="s">
        <v>4227</v>
      </c>
      <c r="Y129" s="858" t="s">
        <v>4189</v>
      </c>
    </row>
    <row r="130" spans="1:25">
      <c r="A130" s="3076">
        <v>4162</v>
      </c>
      <c r="B130" s="852"/>
      <c r="C130" s="3251" t="s">
        <v>123</v>
      </c>
      <c r="D130" s="3066" t="s">
        <v>4258</v>
      </c>
      <c r="E130" s="878" t="s">
        <v>4259</v>
      </c>
      <c r="F130" s="857"/>
      <c r="G130" s="857"/>
      <c r="H130" s="858"/>
      <c r="I130" s="857"/>
      <c r="J130" s="857" t="s">
        <v>265</v>
      </c>
      <c r="K130" s="858"/>
      <c r="L130" s="854">
        <f>SUM(L131)</f>
        <v>1</v>
      </c>
      <c r="M130" s="853">
        <f>M131</f>
        <v>0</v>
      </c>
      <c r="N130" s="2209">
        <f>N131</f>
        <v>0</v>
      </c>
      <c r="O130" s="3253">
        <f>IF(Q130&gt;0,N130,"na")</f>
        <v>0</v>
      </c>
      <c r="P130" s="1081">
        <f>SUM(P131)</f>
        <v>400000000</v>
      </c>
      <c r="Q130" s="1081">
        <f t="shared" ref="Q130:S130" si="49">SUM(Q131)</f>
        <v>400000000</v>
      </c>
      <c r="R130" s="1081">
        <f t="shared" si="49"/>
        <v>0</v>
      </c>
      <c r="S130" s="1081">
        <f t="shared" si="49"/>
        <v>0</v>
      </c>
      <c r="T130" s="886">
        <f t="shared" si="35"/>
        <v>0</v>
      </c>
      <c r="U130" s="886">
        <f t="shared" si="35"/>
        <v>0</v>
      </c>
      <c r="V130" s="857"/>
      <c r="W130" s="857"/>
      <c r="X130" s="857"/>
      <c r="Y130" s="858"/>
    </row>
    <row r="131" spans="1:25" ht="105.6">
      <c r="A131" s="3076"/>
      <c r="B131" s="852"/>
      <c r="C131" s="3251"/>
      <c r="D131" s="3066"/>
      <c r="E131" s="878" t="s">
        <v>4260</v>
      </c>
      <c r="F131" s="857"/>
      <c r="G131" s="857" t="s">
        <v>4185</v>
      </c>
      <c r="H131" s="1107"/>
      <c r="I131" s="857" t="s">
        <v>4261</v>
      </c>
      <c r="J131" s="857" t="s">
        <v>4262</v>
      </c>
      <c r="K131" s="858">
        <v>1</v>
      </c>
      <c r="L131" s="854">
        <v>1</v>
      </c>
      <c r="M131" s="853">
        <v>0</v>
      </c>
      <c r="N131" s="2209">
        <f>(M131/K131)*L131</f>
        <v>0</v>
      </c>
      <c r="O131" s="3253"/>
      <c r="P131" s="1081">
        <v>400000000</v>
      </c>
      <c r="Q131" s="1081">
        <v>400000000</v>
      </c>
      <c r="R131" s="853">
        <v>0</v>
      </c>
      <c r="S131" s="853">
        <v>0</v>
      </c>
      <c r="T131" s="886">
        <f t="shared" si="35"/>
        <v>0</v>
      </c>
      <c r="U131" s="886">
        <f t="shared" si="35"/>
        <v>0</v>
      </c>
      <c r="V131" s="857"/>
      <c r="W131" s="857"/>
      <c r="X131" s="857" t="s">
        <v>4227</v>
      </c>
      <c r="Y131" s="858" t="s">
        <v>4189</v>
      </c>
    </row>
    <row r="132" spans="1:25">
      <c r="A132" s="3076">
        <v>4162</v>
      </c>
      <c r="B132" s="852"/>
      <c r="C132" s="3251" t="s">
        <v>123</v>
      </c>
      <c r="D132" s="3066" t="s">
        <v>4263</v>
      </c>
      <c r="E132" s="878" t="s">
        <v>4264</v>
      </c>
      <c r="F132" s="857"/>
      <c r="G132" s="857"/>
      <c r="H132" s="858"/>
      <c r="I132" s="857"/>
      <c r="J132" s="857"/>
      <c r="K132" s="858"/>
      <c r="L132" s="854">
        <f>SUM(L133)</f>
        <v>1</v>
      </c>
      <c r="M132" s="853">
        <f>M133</f>
        <v>0</v>
      </c>
      <c r="N132" s="2209">
        <f>N133</f>
        <v>0</v>
      </c>
      <c r="O132" s="3253">
        <f>IF(Q132&gt;0,N132,"na")</f>
        <v>0</v>
      </c>
      <c r="P132" s="1081">
        <f>SUM(P133)</f>
        <v>263000000</v>
      </c>
      <c r="Q132" s="1081">
        <f t="shared" ref="Q132:S132" si="50">SUM(Q133)</f>
        <v>263000000</v>
      </c>
      <c r="R132" s="1081">
        <f t="shared" si="50"/>
        <v>0</v>
      </c>
      <c r="S132" s="1081">
        <f t="shared" si="50"/>
        <v>0</v>
      </c>
      <c r="T132" s="886">
        <f t="shared" si="35"/>
        <v>0</v>
      </c>
      <c r="U132" s="886">
        <f t="shared" si="35"/>
        <v>0</v>
      </c>
      <c r="V132" s="857"/>
      <c r="W132" s="857"/>
      <c r="X132" s="857"/>
      <c r="Y132" s="858"/>
    </row>
    <row r="133" spans="1:25" ht="105.6">
      <c r="A133" s="3076"/>
      <c r="B133" s="852"/>
      <c r="C133" s="3251"/>
      <c r="D133" s="3066"/>
      <c r="E133" s="878" t="s">
        <v>4265</v>
      </c>
      <c r="F133" s="857"/>
      <c r="G133" s="857" t="s">
        <v>4185</v>
      </c>
      <c r="H133" s="1107"/>
      <c r="I133" s="857" t="s">
        <v>4250</v>
      </c>
      <c r="J133" s="857" t="s">
        <v>4242</v>
      </c>
      <c r="K133" s="858">
        <v>1</v>
      </c>
      <c r="L133" s="854">
        <v>1</v>
      </c>
      <c r="M133" s="853">
        <v>0</v>
      </c>
      <c r="N133" s="2209">
        <f>(M133/K133)*L133</f>
        <v>0</v>
      </c>
      <c r="O133" s="3253"/>
      <c r="P133" s="1081">
        <v>263000000</v>
      </c>
      <c r="Q133" s="853">
        <v>263000000</v>
      </c>
      <c r="R133" s="853">
        <v>0</v>
      </c>
      <c r="S133" s="853">
        <v>0</v>
      </c>
      <c r="T133" s="886">
        <f t="shared" si="35"/>
        <v>0</v>
      </c>
      <c r="U133" s="886">
        <f t="shared" si="35"/>
        <v>0</v>
      </c>
      <c r="V133" s="857"/>
      <c r="W133" s="857"/>
      <c r="X133" s="857" t="s">
        <v>4227</v>
      </c>
      <c r="Y133" s="858" t="s">
        <v>4189</v>
      </c>
    </row>
    <row r="134" spans="1:25">
      <c r="A134" s="872"/>
      <c r="B134" s="2207">
        <v>5203010</v>
      </c>
      <c r="C134" s="2207" t="s">
        <v>116</v>
      </c>
      <c r="D134" s="872" t="s">
        <v>4266</v>
      </c>
      <c r="E134" s="874"/>
      <c r="F134" s="872"/>
      <c r="G134" s="872"/>
      <c r="H134" s="873"/>
      <c r="I134" s="872"/>
      <c r="J134" s="872"/>
      <c r="K134" s="873"/>
      <c r="L134" s="854"/>
      <c r="M134" s="857"/>
      <c r="N134" s="2209"/>
      <c r="O134" s="886"/>
      <c r="P134" s="1081"/>
      <c r="Q134" s="853"/>
      <c r="R134" s="853"/>
      <c r="S134" s="853"/>
      <c r="T134" s="886"/>
      <c r="U134" s="886"/>
      <c r="V134" s="857"/>
      <c r="W134" s="857"/>
      <c r="X134" s="857"/>
      <c r="Y134" s="858"/>
    </row>
    <row r="135" spans="1:25" ht="27.6">
      <c r="A135" s="846"/>
      <c r="B135" s="844">
        <v>52030100002</v>
      </c>
      <c r="C135" s="851" t="s">
        <v>117</v>
      </c>
      <c r="D135" s="846" t="s">
        <v>4267</v>
      </c>
      <c r="E135" s="846"/>
      <c r="F135" s="846"/>
      <c r="G135" s="846"/>
      <c r="H135" s="858"/>
      <c r="I135" s="846"/>
      <c r="J135" s="844"/>
      <c r="K135" s="844"/>
      <c r="L135" s="854"/>
      <c r="M135" s="857"/>
      <c r="N135" s="2209"/>
      <c r="O135" s="886"/>
      <c r="P135" s="1081"/>
      <c r="Q135" s="853"/>
      <c r="R135" s="853"/>
      <c r="S135" s="853"/>
      <c r="T135" s="886"/>
      <c r="U135" s="886"/>
      <c r="V135" s="857"/>
      <c r="W135" s="857"/>
      <c r="X135" s="857"/>
      <c r="Y135" s="858"/>
    </row>
    <row r="136" spans="1:25">
      <c r="A136" s="3076">
        <v>4162</v>
      </c>
      <c r="B136" s="852"/>
      <c r="C136" s="3251" t="s">
        <v>123</v>
      </c>
      <c r="D136" s="3066" t="s">
        <v>4268</v>
      </c>
      <c r="E136" s="857" t="s">
        <v>4269</v>
      </c>
      <c r="F136" s="857"/>
      <c r="G136" s="857"/>
      <c r="H136" s="858"/>
      <c r="I136" s="857"/>
      <c r="J136" s="858"/>
      <c r="K136" s="858"/>
      <c r="L136" s="854">
        <f>SUM(L137)</f>
        <v>1</v>
      </c>
      <c r="M136" s="853">
        <f>M137</f>
        <v>0</v>
      </c>
      <c r="N136" s="2209">
        <f>N137</f>
        <v>0</v>
      </c>
      <c r="O136" s="3253">
        <f>IF(Q136&gt;0,N136,"na")</f>
        <v>0</v>
      </c>
      <c r="P136" s="1081">
        <f>SUM(P137)</f>
        <v>300000000</v>
      </c>
      <c r="Q136" s="1081">
        <f t="shared" ref="Q136:S136" si="51">SUM(Q137)</f>
        <v>300000000</v>
      </c>
      <c r="R136" s="1081">
        <f t="shared" si="51"/>
        <v>0</v>
      </c>
      <c r="S136" s="1081">
        <f t="shared" si="51"/>
        <v>0</v>
      </c>
      <c r="T136" s="886">
        <f t="shared" si="35"/>
        <v>0</v>
      </c>
      <c r="U136" s="886">
        <f t="shared" si="35"/>
        <v>0</v>
      </c>
      <c r="V136" s="857"/>
      <c r="W136" s="857"/>
      <c r="X136" s="857"/>
      <c r="Y136" s="858"/>
    </row>
    <row r="137" spans="1:25" ht="79.2">
      <c r="A137" s="3076"/>
      <c r="B137" s="852"/>
      <c r="C137" s="3251"/>
      <c r="D137" s="3066"/>
      <c r="E137" s="857" t="s">
        <v>4270</v>
      </c>
      <c r="F137" s="857"/>
      <c r="G137" s="857" t="s">
        <v>4267</v>
      </c>
      <c r="H137" s="1107"/>
      <c r="I137" s="857" t="s">
        <v>4271</v>
      </c>
      <c r="J137" s="878" t="s">
        <v>4018</v>
      </c>
      <c r="K137" s="858">
        <v>1</v>
      </c>
      <c r="L137" s="854">
        <v>1</v>
      </c>
      <c r="M137" s="853">
        <v>0</v>
      </c>
      <c r="N137" s="2209">
        <f>(M137/K137)*L137</f>
        <v>0</v>
      </c>
      <c r="O137" s="3253"/>
      <c r="P137" s="1081">
        <v>300000000</v>
      </c>
      <c r="Q137" s="1081">
        <v>300000000</v>
      </c>
      <c r="R137" s="853">
        <v>0</v>
      </c>
      <c r="S137" s="853">
        <v>0</v>
      </c>
      <c r="T137" s="886">
        <f t="shared" si="35"/>
        <v>0</v>
      </c>
      <c r="U137" s="886">
        <f t="shared" si="35"/>
        <v>0</v>
      </c>
      <c r="V137" s="857"/>
      <c r="W137" s="857"/>
      <c r="X137" s="857" t="s">
        <v>4272</v>
      </c>
      <c r="Y137" s="858" t="s">
        <v>4021</v>
      </c>
    </row>
    <row r="138" spans="1:25" ht="15.6">
      <c r="A138" s="839"/>
      <c r="B138" s="837">
        <v>54</v>
      </c>
      <c r="C138" s="2205" t="s">
        <v>114</v>
      </c>
      <c r="D138" s="2206" t="s">
        <v>201</v>
      </c>
      <c r="E138" s="839"/>
      <c r="F138" s="839"/>
      <c r="G138" s="839"/>
      <c r="H138" s="837"/>
      <c r="I138" s="839"/>
      <c r="J138" s="837"/>
      <c r="K138" s="837"/>
      <c r="L138" s="854"/>
      <c r="M138" s="857"/>
      <c r="N138" s="2209"/>
      <c r="O138" s="886"/>
      <c r="P138" s="1081"/>
      <c r="Q138" s="853"/>
      <c r="R138" s="853"/>
      <c r="S138" s="853"/>
      <c r="T138" s="886"/>
      <c r="U138" s="886"/>
      <c r="V138" s="857"/>
      <c r="W138" s="857"/>
      <c r="X138" s="857"/>
      <c r="Y138" s="858"/>
    </row>
    <row r="139" spans="1:25" ht="15.6">
      <c r="A139" s="839"/>
      <c r="B139" s="837">
        <v>5402</v>
      </c>
      <c r="C139" s="837" t="s">
        <v>115</v>
      </c>
      <c r="D139" s="839" t="s">
        <v>118</v>
      </c>
      <c r="E139" s="839"/>
      <c r="F139" s="839"/>
      <c r="G139" s="839"/>
      <c r="H139" s="837"/>
      <c r="I139" s="839"/>
      <c r="J139" s="837"/>
      <c r="K139" s="837"/>
      <c r="L139" s="854"/>
      <c r="M139" s="857"/>
      <c r="N139" s="2209"/>
      <c r="O139" s="886"/>
      <c r="P139" s="1081"/>
      <c r="Q139" s="853"/>
      <c r="R139" s="853"/>
      <c r="S139" s="853"/>
      <c r="T139" s="886"/>
      <c r="U139" s="886"/>
      <c r="V139" s="857"/>
      <c r="W139" s="857"/>
      <c r="X139" s="857"/>
      <c r="Y139" s="858"/>
    </row>
    <row r="140" spans="1:25">
      <c r="A140" s="872"/>
      <c r="B140" s="873">
        <v>5402001</v>
      </c>
      <c r="C140" s="2207" t="s">
        <v>116</v>
      </c>
      <c r="D140" s="872" t="s">
        <v>119</v>
      </c>
      <c r="E140" s="872"/>
      <c r="F140" s="872"/>
      <c r="G140" s="872"/>
      <c r="H140" s="873"/>
      <c r="I140" s="872"/>
      <c r="J140" s="873"/>
      <c r="K140" s="873"/>
      <c r="L140" s="854"/>
      <c r="M140" s="857"/>
      <c r="N140" s="2209"/>
      <c r="O140" s="886"/>
      <c r="P140" s="1081"/>
      <c r="Q140" s="853"/>
      <c r="R140" s="853"/>
      <c r="S140" s="853"/>
      <c r="T140" s="886"/>
      <c r="U140" s="886"/>
      <c r="V140" s="857"/>
      <c r="W140" s="857"/>
      <c r="X140" s="857"/>
      <c r="Y140" s="858"/>
    </row>
    <row r="141" spans="1:25" ht="27.6">
      <c r="A141" s="846"/>
      <c r="B141" s="844">
        <v>54020010005</v>
      </c>
      <c r="C141" s="851" t="s">
        <v>117</v>
      </c>
      <c r="D141" s="846" t="s">
        <v>4273</v>
      </c>
      <c r="E141" s="846"/>
      <c r="F141" s="846"/>
      <c r="G141" s="846"/>
      <c r="H141" s="844"/>
      <c r="I141" s="846"/>
      <c r="J141" s="844"/>
      <c r="K141" s="844"/>
      <c r="L141" s="854"/>
      <c r="M141" s="857"/>
      <c r="N141" s="2209"/>
      <c r="O141" s="886"/>
      <c r="P141" s="1081"/>
      <c r="Q141" s="853"/>
      <c r="R141" s="853"/>
      <c r="S141" s="853"/>
      <c r="T141" s="886"/>
      <c r="U141" s="886"/>
      <c r="V141" s="857"/>
      <c r="W141" s="857"/>
      <c r="X141" s="857"/>
      <c r="Y141" s="858"/>
    </row>
    <row r="142" spans="1:25">
      <c r="A142" s="3076">
        <v>4162</v>
      </c>
      <c r="B142" s="858"/>
      <c r="C142" s="3251" t="s">
        <v>123</v>
      </c>
      <c r="D142" s="3042" t="s">
        <v>4274</v>
      </c>
      <c r="E142" s="857" t="s">
        <v>4275</v>
      </c>
      <c r="F142" s="857"/>
      <c r="G142" s="857"/>
      <c r="H142" s="858"/>
      <c r="I142" s="857"/>
      <c r="J142" s="858"/>
      <c r="K142" s="858"/>
      <c r="L142" s="854">
        <f>SUM(L143:L145)</f>
        <v>1</v>
      </c>
      <c r="M142" s="853">
        <f>SUM(M143:M145)</f>
        <v>2</v>
      </c>
      <c r="N142" s="2209">
        <f>SUM(N143:N145)</f>
        <v>0.14666666666666667</v>
      </c>
      <c r="O142" s="3253">
        <f>IF(Q142&gt;0,N142,"na")</f>
        <v>0.14666666666666667</v>
      </c>
      <c r="P142" s="1081">
        <f>SUM(P143:P145)</f>
        <v>5800908108</v>
      </c>
      <c r="Q142" s="1081">
        <f t="shared" ref="Q142:S142" si="52">SUM(Q143:Q145)</f>
        <v>5800908108</v>
      </c>
      <c r="R142" s="1081">
        <f t="shared" si="52"/>
        <v>1958745500</v>
      </c>
      <c r="S142" s="1081">
        <f t="shared" si="52"/>
        <v>1127696749</v>
      </c>
      <c r="T142" s="886">
        <f t="shared" si="35"/>
        <v>0.33766187354333455</v>
      </c>
      <c r="U142" s="886">
        <f t="shared" si="35"/>
        <v>0.57572397690256338</v>
      </c>
      <c r="V142" s="857"/>
      <c r="W142" s="857"/>
      <c r="X142" s="857"/>
      <c r="Y142" s="858"/>
    </row>
    <row r="143" spans="1:25" ht="158.4">
      <c r="A143" s="3076"/>
      <c r="B143" s="858"/>
      <c r="C143" s="3251"/>
      <c r="D143" s="3042"/>
      <c r="E143" s="857" t="s">
        <v>4276</v>
      </c>
      <c r="F143" s="857"/>
      <c r="G143" s="3042" t="s">
        <v>4277</v>
      </c>
      <c r="H143" s="3076"/>
      <c r="I143" s="857" t="s">
        <v>4278</v>
      </c>
      <c r="J143" s="878" t="s">
        <v>4279</v>
      </c>
      <c r="K143" s="858">
        <v>6</v>
      </c>
      <c r="L143" s="854">
        <v>0.52</v>
      </c>
      <c r="M143" s="853">
        <v>1</v>
      </c>
      <c r="N143" s="2209">
        <f>(M143/K143)*L143</f>
        <v>8.666666666666667E-2</v>
      </c>
      <c r="O143" s="3253"/>
      <c r="P143" s="1081">
        <v>3041340032</v>
      </c>
      <c r="Q143" s="1081">
        <v>3041340032</v>
      </c>
      <c r="R143" s="853">
        <v>1590513500</v>
      </c>
      <c r="S143" s="853">
        <v>919063000</v>
      </c>
      <c r="T143" s="886">
        <f t="shared" si="35"/>
        <v>0.52296470742012713</v>
      </c>
      <c r="U143" s="886">
        <f t="shared" si="35"/>
        <v>0.57784042700674976</v>
      </c>
      <c r="V143" s="856">
        <v>45309</v>
      </c>
      <c r="W143" s="856">
        <v>45657</v>
      </c>
      <c r="X143" s="857" t="s">
        <v>4280</v>
      </c>
      <c r="Y143" s="3076" t="s">
        <v>4281</v>
      </c>
    </row>
    <row r="144" spans="1:25" ht="92.4">
      <c r="A144" s="3076"/>
      <c r="B144" s="858"/>
      <c r="C144" s="3251"/>
      <c r="D144" s="3042"/>
      <c r="E144" s="857" t="s">
        <v>4282</v>
      </c>
      <c r="F144" s="857"/>
      <c r="G144" s="3042"/>
      <c r="H144" s="3076"/>
      <c r="I144" s="857" t="s">
        <v>4283</v>
      </c>
      <c r="J144" s="878" t="s">
        <v>515</v>
      </c>
      <c r="K144" s="858">
        <v>3</v>
      </c>
      <c r="L144" s="854">
        <v>0.18</v>
      </c>
      <c r="M144" s="853">
        <v>0</v>
      </c>
      <c r="N144" s="2209">
        <f>(M144/K144)*L144</f>
        <v>0</v>
      </c>
      <c r="O144" s="3253"/>
      <c r="P144" s="1081">
        <v>1044246528</v>
      </c>
      <c r="Q144" s="1081">
        <v>1044246528</v>
      </c>
      <c r="R144" s="853">
        <v>0</v>
      </c>
      <c r="S144" s="853">
        <v>0</v>
      </c>
      <c r="T144" s="886">
        <f t="shared" si="35"/>
        <v>0</v>
      </c>
      <c r="U144" s="886">
        <f t="shared" si="35"/>
        <v>0</v>
      </c>
      <c r="V144" s="857"/>
      <c r="W144" s="857"/>
      <c r="X144" s="857" t="s">
        <v>4284</v>
      </c>
      <c r="Y144" s="3076"/>
    </row>
    <row r="145" spans="1:25" ht="211.2">
      <c r="A145" s="3076"/>
      <c r="B145" s="858"/>
      <c r="C145" s="3251"/>
      <c r="D145" s="3042"/>
      <c r="E145" s="857" t="s">
        <v>4285</v>
      </c>
      <c r="F145" s="857"/>
      <c r="G145" s="3042"/>
      <c r="H145" s="3076"/>
      <c r="I145" s="857" t="s">
        <v>4286</v>
      </c>
      <c r="J145" s="878" t="s">
        <v>4287</v>
      </c>
      <c r="K145" s="858">
        <v>5</v>
      </c>
      <c r="L145" s="854">
        <v>0.3</v>
      </c>
      <c r="M145" s="853">
        <v>1</v>
      </c>
      <c r="N145" s="2209">
        <f>(M145/K145)*L145</f>
        <v>0.06</v>
      </c>
      <c r="O145" s="3253"/>
      <c r="P145" s="1081">
        <v>1715321548</v>
      </c>
      <c r="Q145" s="1081">
        <v>1715321548</v>
      </c>
      <c r="R145" s="853">
        <v>368232000</v>
      </c>
      <c r="S145" s="853">
        <v>208633749</v>
      </c>
      <c r="T145" s="886">
        <f t="shared" si="35"/>
        <v>0.21467228720431139</v>
      </c>
      <c r="U145" s="886">
        <f t="shared" si="35"/>
        <v>0.5665823421104087</v>
      </c>
      <c r="V145" s="856">
        <v>45309</v>
      </c>
      <c r="W145" s="856">
        <v>45657</v>
      </c>
      <c r="X145" s="857" t="s">
        <v>4288</v>
      </c>
      <c r="Y145" s="3076"/>
    </row>
    <row r="146" spans="1:25" ht="27.6">
      <c r="A146" s="872"/>
      <c r="B146" s="873">
        <v>5402002</v>
      </c>
      <c r="C146" s="2207" t="s">
        <v>116</v>
      </c>
      <c r="D146" s="872" t="s">
        <v>590</v>
      </c>
      <c r="E146" s="872"/>
      <c r="F146" s="872"/>
      <c r="G146" s="872"/>
      <c r="H146" s="873"/>
      <c r="I146" s="872"/>
      <c r="J146" s="873"/>
      <c r="K146" s="873"/>
      <c r="L146" s="854"/>
      <c r="M146" s="853"/>
      <c r="N146" s="2209"/>
      <c r="O146" s="2210"/>
      <c r="P146" s="1081"/>
      <c r="Q146" s="853"/>
      <c r="R146" s="853"/>
      <c r="S146" s="853"/>
      <c r="T146" s="886"/>
      <c r="U146" s="886"/>
      <c r="V146" s="857"/>
      <c r="W146" s="857"/>
      <c r="X146" s="857"/>
      <c r="Y146" s="858"/>
    </row>
    <row r="147" spans="1:25">
      <c r="A147" s="846"/>
      <c r="B147" s="844">
        <v>54020020017</v>
      </c>
      <c r="C147" s="851" t="s">
        <v>117</v>
      </c>
      <c r="D147" s="846" t="s">
        <v>4289</v>
      </c>
      <c r="E147" s="846"/>
      <c r="F147" s="846"/>
      <c r="G147" s="846"/>
      <c r="H147" s="844"/>
      <c r="I147" s="846"/>
      <c r="J147" s="844"/>
      <c r="K147" s="844"/>
      <c r="L147" s="854"/>
      <c r="M147" s="853"/>
      <c r="N147" s="2209"/>
      <c r="O147" s="2210"/>
      <c r="P147" s="1081"/>
      <c r="Q147" s="853"/>
      <c r="R147" s="853"/>
      <c r="S147" s="853"/>
      <c r="T147" s="886"/>
      <c r="U147" s="886"/>
      <c r="V147" s="857"/>
      <c r="W147" s="857"/>
      <c r="X147" s="857"/>
      <c r="Y147" s="858"/>
    </row>
    <row r="148" spans="1:25">
      <c r="A148" s="3076">
        <v>4162</v>
      </c>
      <c r="B148" s="852"/>
      <c r="C148" s="3251" t="s">
        <v>123</v>
      </c>
      <c r="D148" s="3066" t="s">
        <v>4290</v>
      </c>
      <c r="E148" s="857" t="s">
        <v>4291</v>
      </c>
      <c r="F148" s="857"/>
      <c r="G148" s="857"/>
      <c r="H148" s="858"/>
      <c r="I148" s="857"/>
      <c r="J148" s="858"/>
      <c r="K148" s="858"/>
      <c r="L148" s="854">
        <f>SUM(L149)</f>
        <v>1</v>
      </c>
      <c r="M148" s="853">
        <f>M149</f>
        <v>0</v>
      </c>
      <c r="N148" s="2209">
        <f>N149</f>
        <v>0</v>
      </c>
      <c r="O148" s="3253">
        <f>IF(Q148&gt;0,N148,"na")</f>
        <v>0</v>
      </c>
      <c r="P148" s="1081">
        <f>SUM(P149)</f>
        <v>600000000</v>
      </c>
      <c r="Q148" s="1081">
        <f t="shared" ref="Q148:S148" si="53">SUM(Q149)</f>
        <v>600000000</v>
      </c>
      <c r="R148" s="1081">
        <f t="shared" si="53"/>
        <v>68003000</v>
      </c>
      <c r="S148" s="1081">
        <f t="shared" si="53"/>
        <v>41848000</v>
      </c>
      <c r="T148" s="886">
        <f t="shared" si="35"/>
        <v>0.11333833333333333</v>
      </c>
      <c r="U148" s="886">
        <f t="shared" si="35"/>
        <v>0.61538461538461542</v>
      </c>
      <c r="V148" s="857"/>
      <c r="W148" s="857"/>
      <c r="X148" s="857"/>
      <c r="Y148" s="858"/>
    </row>
    <row r="149" spans="1:25" ht="132">
      <c r="A149" s="3250"/>
      <c r="B149" s="1125"/>
      <c r="C149" s="3252"/>
      <c r="D149" s="3072"/>
      <c r="E149" s="883" t="s">
        <v>4292</v>
      </c>
      <c r="F149" s="883"/>
      <c r="G149" s="883" t="s">
        <v>4289</v>
      </c>
      <c r="H149" s="2208"/>
      <c r="I149" s="883" t="s">
        <v>4293</v>
      </c>
      <c r="J149" s="1747" t="s">
        <v>138</v>
      </c>
      <c r="K149" s="1124">
        <v>1</v>
      </c>
      <c r="L149" s="884">
        <v>1</v>
      </c>
      <c r="M149" s="885">
        <v>0</v>
      </c>
      <c r="N149" s="2211">
        <f>(M149/K149)*L149</f>
        <v>0</v>
      </c>
      <c r="O149" s="3254"/>
      <c r="P149" s="1129">
        <v>600000000</v>
      </c>
      <c r="Q149" s="1129">
        <v>600000000</v>
      </c>
      <c r="R149" s="885">
        <v>68003000</v>
      </c>
      <c r="S149" s="885">
        <v>41848000</v>
      </c>
      <c r="T149" s="894">
        <f t="shared" si="35"/>
        <v>0.11333833333333333</v>
      </c>
      <c r="U149" s="894">
        <f t="shared" si="35"/>
        <v>0.61538461538461542</v>
      </c>
      <c r="V149" s="2212">
        <v>45310</v>
      </c>
      <c r="W149" s="2212">
        <v>45657</v>
      </c>
      <c r="X149" s="883" t="s">
        <v>4294</v>
      </c>
      <c r="Y149" s="1124" t="s">
        <v>4281</v>
      </c>
    </row>
    <row r="150" spans="1:25">
      <c r="A150" s="126"/>
      <c r="B150" s="110"/>
      <c r="C150" s="110"/>
      <c r="D150" s="126"/>
      <c r="E150" s="126"/>
      <c r="F150" s="126"/>
      <c r="G150" s="126"/>
      <c r="H150" s="110"/>
      <c r="I150" s="126"/>
      <c r="J150" s="110"/>
      <c r="K150" s="110"/>
      <c r="L150" s="2193"/>
      <c r="M150" s="1907"/>
      <c r="N150" s="2191"/>
      <c r="O150" s="2041"/>
      <c r="P150" s="135"/>
      <c r="Q150" s="1907"/>
      <c r="R150" s="1907"/>
      <c r="S150" s="1907"/>
      <c r="T150" s="2214"/>
      <c r="U150" s="2214"/>
      <c r="V150" s="57"/>
      <c r="W150" s="57"/>
      <c r="X150" s="57"/>
      <c r="Y150" s="110"/>
    </row>
    <row r="151" spans="1:25" s="46" customFormat="1" ht="13.8" customHeight="1">
      <c r="A151" s="57"/>
      <c r="B151" s="113" t="s">
        <v>123</v>
      </c>
      <c r="C151" s="2213">
        <f>COUNTIF(C9:C149,"pr")</f>
        <v>51</v>
      </c>
      <c r="D151" s="57"/>
      <c r="E151" s="52" t="s">
        <v>126</v>
      </c>
      <c r="F151" s="52"/>
      <c r="G151" s="113">
        <f>COUNTIF(O11:O149,"na")</f>
        <v>0</v>
      </c>
      <c r="I151" s="57"/>
      <c r="J151" s="113"/>
      <c r="K151" s="113"/>
      <c r="L151" s="49"/>
      <c r="M151" s="519"/>
      <c r="N151" s="519" t="s">
        <v>561</v>
      </c>
      <c r="O151" s="123">
        <f>AVERAGE(O11:O149)</f>
        <v>1.2571428964568284E-2</v>
      </c>
      <c r="P151" s="137">
        <f>SUM(P11+P13+P15+P17+P19+P21+P23+P25+P27+P29+P31+P34+P42+P46+P49+P53+P55+P57+P59+P61+P63+P65+P67+P69+P71+P73+P75+P77+P79+P81+P84+P90+P94+P100+P103+P106+P109+P112+P114+P116+P118+P120+P122+P124+P126+P128+P130+P132+P136+P142+P148)</f>
        <v>68046629056</v>
      </c>
      <c r="Q151" s="137">
        <f t="shared" ref="Q151:S151" si="54">SUM(Q11+Q13+Q15+Q17+Q19+Q21+Q23+Q25+Q27+Q29+Q31+Q34+Q42+Q46+Q49+Q53+Q55+Q57+Q59+Q61+Q63+Q65+Q67+Q69+Q71+Q73+Q75+Q77+Q79+Q81+Q84+Q90+Q94+Q100+Q103+Q106+Q109+Q112+Q114+Q116+Q118+Q120+Q122+Q124+Q126+Q128+Q130+Q132+Q136+Q142+Q148)</f>
        <v>68533619165</v>
      </c>
      <c r="R151" s="137">
        <f t="shared" si="54"/>
        <v>9492059858</v>
      </c>
      <c r="S151" s="137">
        <f t="shared" si="54"/>
        <v>2538161749</v>
      </c>
      <c r="T151" s="2214">
        <f t="shared" ref="T151:U151" si="55">+IF(Q151=0,0,R151/Q151)</f>
        <v>0.13850224128901073</v>
      </c>
      <c r="U151" s="2214">
        <f t="shared" si="55"/>
        <v>0.26739841372374118</v>
      </c>
      <c r="V151" s="57"/>
      <c r="W151" s="57"/>
      <c r="X151" s="57"/>
      <c r="Y151" s="113"/>
    </row>
    <row r="152" spans="1:25" s="46" customFormat="1" ht="13.8" customHeight="1">
      <c r="A152" s="57"/>
      <c r="B152" s="113"/>
      <c r="C152" s="2213"/>
      <c r="D152" s="57"/>
      <c r="E152" s="57"/>
      <c r="F152" s="57"/>
      <c r="G152" s="57"/>
      <c r="H152" s="113"/>
      <c r="I152" s="57"/>
      <c r="J152" s="113"/>
      <c r="K152" s="113"/>
      <c r="L152" s="49"/>
      <c r="M152" s="57"/>
      <c r="N152" s="2068" t="s">
        <v>133</v>
      </c>
      <c r="O152" s="113">
        <f>COUNTIF(O11:O149,"=0%")</f>
        <v>47</v>
      </c>
      <c r="P152" s="137">
        <v>68046629056</v>
      </c>
      <c r="Q152" s="1907">
        <v>68533619165</v>
      </c>
      <c r="R152" s="1907">
        <v>9492059858</v>
      </c>
      <c r="S152" s="1907">
        <v>2538161749</v>
      </c>
      <c r="T152" s="2214"/>
      <c r="U152" s="2214"/>
      <c r="V152" s="57"/>
      <c r="W152" s="57"/>
      <c r="X152" s="57"/>
      <c r="Y152" s="113"/>
    </row>
    <row r="153" spans="1:25">
      <c r="A153" s="126"/>
      <c r="B153" s="110"/>
      <c r="C153" s="2194"/>
      <c r="D153" s="126"/>
      <c r="E153" s="126"/>
      <c r="F153" s="126"/>
      <c r="G153" s="126"/>
      <c r="H153" s="110"/>
      <c r="I153" s="126"/>
      <c r="J153" s="110"/>
      <c r="K153" s="110"/>
      <c r="L153" s="826"/>
      <c r="M153" s="126"/>
      <c r="N153" s="2193"/>
      <c r="O153" s="126"/>
      <c r="P153" s="2215">
        <f>P151-P152</f>
        <v>0</v>
      </c>
      <c r="Q153" s="2215">
        <f t="shared" ref="Q153:S153" si="56">Q151-Q152</f>
        <v>0</v>
      </c>
      <c r="R153" s="2215">
        <f t="shared" si="56"/>
        <v>0</v>
      </c>
      <c r="S153" s="2215">
        <f t="shared" si="56"/>
        <v>0</v>
      </c>
      <c r="T153" s="827"/>
      <c r="U153" s="827"/>
      <c r="V153" s="126"/>
      <c r="W153" s="126"/>
      <c r="X153" s="126"/>
      <c r="Y153" s="126"/>
    </row>
    <row r="154" spans="1:25">
      <c r="A154" s="126"/>
      <c r="B154" s="110"/>
      <c r="C154" s="2194"/>
      <c r="D154" s="126"/>
      <c r="E154" s="126"/>
      <c r="F154" s="126"/>
      <c r="G154" s="126"/>
      <c r="H154" s="110"/>
      <c r="I154" s="126"/>
      <c r="J154" s="110"/>
      <c r="K154" s="110"/>
      <c r="L154" s="2193"/>
      <c r="M154" s="57"/>
      <c r="N154" s="2191"/>
      <c r="O154" s="57"/>
      <c r="P154" s="1907"/>
      <c r="Q154" s="1907"/>
      <c r="R154" s="1907"/>
      <c r="S154" s="1907"/>
      <c r="T154" s="2192"/>
      <c r="U154" s="2192"/>
      <c r="V154" s="57"/>
      <c r="W154" s="57"/>
      <c r="X154" s="57"/>
      <c r="Y154" s="57"/>
    </row>
    <row r="155" spans="1:25">
      <c r="A155" s="126"/>
      <c r="B155" s="110"/>
      <c r="C155" s="2194"/>
      <c r="D155" s="126"/>
      <c r="E155" s="126"/>
      <c r="F155" s="126"/>
      <c r="G155" s="126"/>
      <c r="H155" s="110"/>
      <c r="I155" s="126"/>
      <c r="J155" s="110"/>
      <c r="K155" s="110"/>
      <c r="P155" s="1907"/>
      <c r="Q155" s="1907"/>
      <c r="R155" s="1907"/>
      <c r="S155" s="1907"/>
      <c r="T155" s="2192"/>
      <c r="U155" s="2192"/>
      <c r="V155" s="57"/>
      <c r="W155" s="57"/>
      <c r="X155" s="57"/>
      <c r="Y155" s="57"/>
    </row>
    <row r="156" spans="1:25">
      <c r="A156" s="113"/>
      <c r="B156" s="113"/>
      <c r="C156" s="113"/>
      <c r="D156" s="57"/>
      <c r="E156" s="2041"/>
      <c r="F156" s="57"/>
      <c r="G156" s="57"/>
      <c r="H156" s="57"/>
      <c r="I156" s="57"/>
      <c r="J156" s="57"/>
      <c r="K156" s="57"/>
      <c r="P156" s="1907"/>
      <c r="Q156" s="1907"/>
      <c r="R156" s="1907"/>
      <c r="S156" s="1907"/>
      <c r="T156" s="2192"/>
      <c r="U156" s="2192"/>
      <c r="V156" s="57"/>
      <c r="W156" s="57"/>
      <c r="X156" s="57"/>
      <c r="Y156" s="57"/>
    </row>
    <row r="157" spans="1:25">
      <c r="A157" s="2195"/>
      <c r="D157" s="126"/>
      <c r="E157" s="126"/>
      <c r="F157" s="126"/>
      <c r="G157" s="126"/>
      <c r="H157" s="110"/>
      <c r="I157" s="126"/>
      <c r="J157" s="110"/>
      <c r="K157" s="110"/>
      <c r="L157" s="3249"/>
      <c r="M157" s="3249"/>
      <c r="N157" s="3249"/>
      <c r="O157" s="123"/>
      <c r="P157" s="1907"/>
      <c r="Q157" s="1907"/>
      <c r="R157" s="1907"/>
      <c r="S157" s="1907"/>
      <c r="T157" s="2192"/>
      <c r="U157" s="2192"/>
      <c r="V157" s="57"/>
      <c r="W157" s="57"/>
      <c r="X157" s="57"/>
      <c r="Y157" s="57"/>
    </row>
    <row r="158" spans="1:25">
      <c r="A158" s="2195"/>
      <c r="B158" s="113"/>
      <c r="C158" s="113"/>
      <c r="D158" s="57"/>
      <c r="E158" s="2041"/>
      <c r="F158" s="57"/>
      <c r="G158" s="57"/>
      <c r="H158" s="57"/>
      <c r="I158" s="57"/>
      <c r="J158" s="57"/>
      <c r="K158" s="57"/>
      <c r="P158" s="1907"/>
      <c r="Q158" s="1907"/>
      <c r="R158" s="1907"/>
      <c r="S158" s="1907"/>
      <c r="T158" s="2192"/>
      <c r="U158" s="2192"/>
      <c r="V158" s="57"/>
      <c r="W158" s="57"/>
      <c r="X158" s="57"/>
      <c r="Y158" s="57"/>
    </row>
  </sheetData>
  <autoFilter ref="A5:Y6" xr:uid="{00000000-0009-0000-0000-000014000000}"/>
  <mergeCells count="255">
    <mergeCell ref="B5:B6"/>
    <mergeCell ref="J5:J6"/>
    <mergeCell ref="H5:H6"/>
    <mergeCell ref="A4:Y4"/>
    <mergeCell ref="D5:D6"/>
    <mergeCell ref="Y5:Y6"/>
    <mergeCell ref="O5:O6"/>
    <mergeCell ref="S5:S6"/>
    <mergeCell ref="A5:A6"/>
    <mergeCell ref="P5:P6"/>
    <mergeCell ref="M5:M6"/>
    <mergeCell ref="G5:G6"/>
    <mergeCell ref="K5:K6"/>
    <mergeCell ref="L5:L6"/>
    <mergeCell ref="N5:N6"/>
    <mergeCell ref="I5:I6"/>
    <mergeCell ref="A11:A12"/>
    <mergeCell ref="C11:C12"/>
    <mergeCell ref="D11:D12"/>
    <mergeCell ref="O11:O12"/>
    <mergeCell ref="A13:A14"/>
    <mergeCell ref="C13:C14"/>
    <mergeCell ref="D13:D14"/>
    <mergeCell ref="O13:O14"/>
    <mergeCell ref="A1:X1"/>
    <mergeCell ref="Q5:Q6"/>
    <mergeCell ref="R5:R6"/>
    <mergeCell ref="A2:Y2"/>
    <mergeCell ref="A3:B3"/>
    <mergeCell ref="S3:U3"/>
    <mergeCell ref="V3:W3"/>
    <mergeCell ref="W5:W6"/>
    <mergeCell ref="X5:X6"/>
    <mergeCell ref="E5:E6"/>
    <mergeCell ref="F5:F6"/>
    <mergeCell ref="C3:R3"/>
    <mergeCell ref="T5:T6"/>
    <mergeCell ref="U5:U6"/>
    <mergeCell ref="V5:V6"/>
    <mergeCell ref="C5:C6"/>
    <mergeCell ref="A19:A20"/>
    <mergeCell ref="C19:C20"/>
    <mergeCell ref="D19:D20"/>
    <mergeCell ref="O19:O20"/>
    <mergeCell ref="A21:A22"/>
    <mergeCell ref="C21:C22"/>
    <mergeCell ref="D21:D22"/>
    <mergeCell ref="O21:O22"/>
    <mergeCell ref="A15:A16"/>
    <mergeCell ref="C15:C16"/>
    <mergeCell ref="D15:D16"/>
    <mergeCell ref="O15:O16"/>
    <mergeCell ref="A17:A18"/>
    <mergeCell ref="C17:C18"/>
    <mergeCell ref="D17:D18"/>
    <mergeCell ref="O17:O18"/>
    <mergeCell ref="A27:A28"/>
    <mergeCell ref="C27:C28"/>
    <mergeCell ref="D27:D28"/>
    <mergeCell ref="O27:O28"/>
    <mergeCell ref="A29:A30"/>
    <mergeCell ref="C29:C30"/>
    <mergeCell ref="D29:D30"/>
    <mergeCell ref="O29:O30"/>
    <mergeCell ref="A23:A24"/>
    <mergeCell ref="C23:C24"/>
    <mergeCell ref="D23:D24"/>
    <mergeCell ref="O23:O24"/>
    <mergeCell ref="A25:A26"/>
    <mergeCell ref="C25:C26"/>
    <mergeCell ref="D25:D26"/>
    <mergeCell ref="O25:O26"/>
    <mergeCell ref="Y35:Y37"/>
    <mergeCell ref="A42:A43"/>
    <mergeCell ref="C42:C43"/>
    <mergeCell ref="D42:D43"/>
    <mergeCell ref="O42:O43"/>
    <mergeCell ref="A31:A32"/>
    <mergeCell ref="C31:C32"/>
    <mergeCell ref="D31:D32"/>
    <mergeCell ref="O31:O32"/>
    <mergeCell ref="A34:A37"/>
    <mergeCell ref="C34:C37"/>
    <mergeCell ref="D34:D37"/>
    <mergeCell ref="O34:O37"/>
    <mergeCell ref="G35:G36"/>
    <mergeCell ref="Y50:Y52"/>
    <mergeCell ref="A53:A54"/>
    <mergeCell ref="C53:C54"/>
    <mergeCell ref="D53:D54"/>
    <mergeCell ref="O53:O54"/>
    <mergeCell ref="A46:A47"/>
    <mergeCell ref="C46:C47"/>
    <mergeCell ref="D46:D47"/>
    <mergeCell ref="O46:O47"/>
    <mergeCell ref="A49:A52"/>
    <mergeCell ref="C49:C52"/>
    <mergeCell ref="D49:D52"/>
    <mergeCell ref="O49:O52"/>
    <mergeCell ref="G50:G52"/>
    <mergeCell ref="A59:A60"/>
    <mergeCell ref="C59:C60"/>
    <mergeCell ref="D59:D60"/>
    <mergeCell ref="O59:O60"/>
    <mergeCell ref="A61:A62"/>
    <mergeCell ref="C61:C62"/>
    <mergeCell ref="D61:D62"/>
    <mergeCell ref="O61:O62"/>
    <mergeCell ref="A55:A56"/>
    <mergeCell ref="C55:C56"/>
    <mergeCell ref="D55:D56"/>
    <mergeCell ref="O55:O56"/>
    <mergeCell ref="A57:A58"/>
    <mergeCell ref="C57:C58"/>
    <mergeCell ref="D57:D58"/>
    <mergeCell ref="O57:O58"/>
    <mergeCell ref="A67:A68"/>
    <mergeCell ref="C67:C68"/>
    <mergeCell ref="D67:D68"/>
    <mergeCell ref="O67:O68"/>
    <mergeCell ref="A69:A70"/>
    <mergeCell ref="C69:C70"/>
    <mergeCell ref="D69:D70"/>
    <mergeCell ref="O69:O70"/>
    <mergeCell ref="A63:A64"/>
    <mergeCell ref="C63:C64"/>
    <mergeCell ref="D63:D64"/>
    <mergeCell ref="O63:O64"/>
    <mergeCell ref="A65:A66"/>
    <mergeCell ref="C65:C66"/>
    <mergeCell ref="D65:D66"/>
    <mergeCell ref="O65:O66"/>
    <mergeCell ref="A75:A76"/>
    <mergeCell ref="C75:C76"/>
    <mergeCell ref="D75:D76"/>
    <mergeCell ref="O75:O76"/>
    <mergeCell ref="A77:A78"/>
    <mergeCell ref="C77:C78"/>
    <mergeCell ref="D77:D78"/>
    <mergeCell ref="O77:O78"/>
    <mergeCell ref="A71:A72"/>
    <mergeCell ref="C71:C72"/>
    <mergeCell ref="D71:D72"/>
    <mergeCell ref="O71:O72"/>
    <mergeCell ref="A73:A74"/>
    <mergeCell ref="C73:C74"/>
    <mergeCell ref="D73:D74"/>
    <mergeCell ref="O73:O74"/>
    <mergeCell ref="A84:A87"/>
    <mergeCell ref="C84:C87"/>
    <mergeCell ref="D84:D87"/>
    <mergeCell ref="O84:O87"/>
    <mergeCell ref="Y85:Y87"/>
    <mergeCell ref="A79:A80"/>
    <mergeCell ref="C79:C80"/>
    <mergeCell ref="D79:D80"/>
    <mergeCell ref="O79:O80"/>
    <mergeCell ref="A81:A82"/>
    <mergeCell ref="C81:C82"/>
    <mergeCell ref="D81:D82"/>
    <mergeCell ref="O81:O82"/>
    <mergeCell ref="Y95:Y96"/>
    <mergeCell ref="A100:A102"/>
    <mergeCell ref="C100:C102"/>
    <mergeCell ref="D100:D102"/>
    <mergeCell ref="O100:O102"/>
    <mergeCell ref="G101:G102"/>
    <mergeCell ref="H101:H102"/>
    <mergeCell ref="Y101:Y102"/>
    <mergeCell ref="A90:A91"/>
    <mergeCell ref="C90:C91"/>
    <mergeCell ref="D90:D91"/>
    <mergeCell ref="O90:O91"/>
    <mergeCell ref="A94:A96"/>
    <mergeCell ref="C94:C96"/>
    <mergeCell ref="D94:D96"/>
    <mergeCell ref="O94:O96"/>
    <mergeCell ref="Y104:Y105"/>
    <mergeCell ref="A106:A108"/>
    <mergeCell ref="C106:C108"/>
    <mergeCell ref="D106:D108"/>
    <mergeCell ref="O106:O108"/>
    <mergeCell ref="G107:G108"/>
    <mergeCell ref="Y107:Y108"/>
    <mergeCell ref="A103:A105"/>
    <mergeCell ref="C103:C105"/>
    <mergeCell ref="D103:D105"/>
    <mergeCell ref="O103:O105"/>
    <mergeCell ref="G104:G105"/>
    <mergeCell ref="A114:A115"/>
    <mergeCell ref="C114:C115"/>
    <mergeCell ref="D114:D115"/>
    <mergeCell ref="O114:O115"/>
    <mergeCell ref="A116:A117"/>
    <mergeCell ref="C116:C117"/>
    <mergeCell ref="D116:D117"/>
    <mergeCell ref="O116:O117"/>
    <mergeCell ref="Y110:Y111"/>
    <mergeCell ref="A112:A113"/>
    <mergeCell ref="C112:C113"/>
    <mergeCell ref="D112:D113"/>
    <mergeCell ref="O112:O113"/>
    <mergeCell ref="A109:A111"/>
    <mergeCell ref="C109:C111"/>
    <mergeCell ref="D109:D111"/>
    <mergeCell ref="O109:O111"/>
    <mergeCell ref="G110:G111"/>
    <mergeCell ref="A122:A123"/>
    <mergeCell ref="C122:C123"/>
    <mergeCell ref="D122:D123"/>
    <mergeCell ref="O122:O123"/>
    <mergeCell ref="A124:A125"/>
    <mergeCell ref="C124:C125"/>
    <mergeCell ref="D124:D125"/>
    <mergeCell ref="O124:O125"/>
    <mergeCell ref="A118:A119"/>
    <mergeCell ref="C118:C119"/>
    <mergeCell ref="D118:D119"/>
    <mergeCell ref="O118:O119"/>
    <mergeCell ref="A120:A121"/>
    <mergeCell ref="C120:C121"/>
    <mergeCell ref="D120:D121"/>
    <mergeCell ref="O120:O121"/>
    <mergeCell ref="A130:A131"/>
    <mergeCell ref="C130:C131"/>
    <mergeCell ref="D130:D131"/>
    <mergeCell ref="O130:O131"/>
    <mergeCell ref="A132:A133"/>
    <mergeCell ref="C132:C133"/>
    <mergeCell ref="D132:D133"/>
    <mergeCell ref="O132:O133"/>
    <mergeCell ref="A126:A127"/>
    <mergeCell ref="C126:C127"/>
    <mergeCell ref="D126:D127"/>
    <mergeCell ref="O126:O127"/>
    <mergeCell ref="A128:A129"/>
    <mergeCell ref="C128:C129"/>
    <mergeCell ref="D128:D129"/>
    <mergeCell ref="O128:O129"/>
    <mergeCell ref="L157:N157"/>
    <mergeCell ref="Y143:Y145"/>
    <mergeCell ref="A148:A149"/>
    <mergeCell ref="C148:C149"/>
    <mergeCell ref="D148:D149"/>
    <mergeCell ref="O148:O149"/>
    <mergeCell ref="A136:A137"/>
    <mergeCell ref="C136:C137"/>
    <mergeCell ref="D136:D137"/>
    <mergeCell ref="O136:O137"/>
    <mergeCell ref="A142:A145"/>
    <mergeCell ref="C142:C145"/>
    <mergeCell ref="D142:D145"/>
    <mergeCell ref="O142:O145"/>
    <mergeCell ref="G143:G145"/>
    <mergeCell ref="H143:H14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2"/>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62</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7" t="s">
        <v>12</v>
      </c>
      <c r="O5" s="2867" t="s">
        <v>86</v>
      </c>
      <c r="P5" s="2871" t="s">
        <v>1</v>
      </c>
      <c r="Q5" s="2867" t="s">
        <v>13</v>
      </c>
      <c r="R5" s="2867" t="s">
        <v>14</v>
      </c>
      <c r="S5" s="2867" t="s">
        <v>16</v>
      </c>
      <c r="T5" s="2867" t="s">
        <v>15</v>
      </c>
      <c r="U5" s="2867" t="s">
        <v>103</v>
      </c>
      <c r="V5" s="2871" t="s">
        <v>6</v>
      </c>
      <c r="W5" s="2871" t="s">
        <v>7</v>
      </c>
      <c r="X5" s="2867" t="s">
        <v>0</v>
      </c>
      <c r="Y5" s="2867" t="s">
        <v>90</v>
      </c>
    </row>
    <row r="6" spans="1:25" ht="42.75" customHeight="1">
      <c r="A6" s="2869"/>
      <c r="B6" s="2869"/>
      <c r="C6" s="2869"/>
      <c r="D6" s="2869"/>
      <c r="E6" s="2869"/>
      <c r="F6" s="2869"/>
      <c r="G6" s="2869"/>
      <c r="H6" s="2869"/>
      <c r="I6" s="2869"/>
      <c r="J6" s="2869"/>
      <c r="K6" s="2869"/>
      <c r="L6" s="2869"/>
      <c r="M6" s="2867"/>
      <c r="N6" s="2867"/>
      <c r="O6" s="2867"/>
      <c r="P6" s="2871"/>
      <c r="Q6" s="2867"/>
      <c r="R6" s="2867"/>
      <c r="S6" s="2867"/>
      <c r="T6" s="2867"/>
      <c r="U6" s="2867"/>
      <c r="V6" s="2871"/>
      <c r="W6" s="2871"/>
      <c r="X6" s="2867"/>
      <c r="Y6" s="2867"/>
    </row>
    <row r="7" spans="1:25" ht="15.6">
      <c r="A7" s="2216"/>
      <c r="B7" s="2217">
        <v>53</v>
      </c>
      <c r="C7" s="2217" t="s">
        <v>114</v>
      </c>
      <c r="D7" s="2218" t="s">
        <v>189</v>
      </c>
      <c r="E7" s="2219"/>
      <c r="F7" s="2216"/>
      <c r="G7" s="2216"/>
      <c r="H7" s="2216"/>
      <c r="I7" s="2216"/>
      <c r="J7" s="2216"/>
      <c r="K7" s="2216"/>
      <c r="L7" s="2216"/>
      <c r="M7" s="536"/>
      <c r="N7" s="532"/>
      <c r="O7" s="532"/>
      <c r="P7" s="533"/>
      <c r="Q7" s="529"/>
      <c r="R7" s="529"/>
      <c r="S7" s="529"/>
      <c r="T7" s="529"/>
      <c r="U7" s="529"/>
      <c r="V7" s="529"/>
      <c r="W7" s="529"/>
      <c r="X7" s="529"/>
      <c r="Y7" s="529"/>
    </row>
    <row r="8" spans="1:25" ht="15.6">
      <c r="A8" s="2220"/>
      <c r="B8" s="2221">
        <v>5305</v>
      </c>
      <c r="C8" s="2221" t="s">
        <v>115</v>
      </c>
      <c r="D8" s="1919" t="s">
        <v>1103</v>
      </c>
      <c r="E8" s="2222"/>
      <c r="F8" s="2220"/>
      <c r="G8" s="2220"/>
      <c r="H8" s="2220"/>
      <c r="I8" s="2220"/>
      <c r="J8" s="2220"/>
      <c r="K8" s="2220"/>
      <c r="L8" s="2220"/>
      <c r="M8" s="376"/>
      <c r="N8" s="377"/>
      <c r="O8" s="377"/>
      <c r="P8" s="379"/>
      <c r="Q8" s="216"/>
      <c r="R8" s="216"/>
      <c r="S8" s="216"/>
      <c r="T8" s="216"/>
      <c r="U8" s="216"/>
      <c r="V8" s="216"/>
      <c r="W8" s="216"/>
      <c r="X8" s="216"/>
      <c r="Y8" s="216"/>
    </row>
    <row r="9" spans="1:25">
      <c r="A9" s="399"/>
      <c r="B9" s="491">
        <v>5305001</v>
      </c>
      <c r="C9" s="2223" t="s">
        <v>116</v>
      </c>
      <c r="D9" s="1918" t="s">
        <v>1104</v>
      </c>
      <c r="E9" s="2224"/>
      <c r="F9" s="399"/>
      <c r="G9" s="399"/>
      <c r="H9" s="399"/>
      <c r="I9" s="399"/>
      <c r="J9" s="399"/>
      <c r="K9" s="399"/>
      <c r="L9" s="399"/>
      <c r="M9" s="2225"/>
      <c r="N9" s="2226"/>
      <c r="O9" s="2226"/>
      <c r="P9" s="591"/>
      <c r="Q9" s="216"/>
      <c r="R9" s="216"/>
      <c r="S9" s="216"/>
      <c r="T9" s="216"/>
      <c r="U9" s="216"/>
      <c r="V9" s="216"/>
      <c r="W9" s="216"/>
      <c r="X9" s="216"/>
      <c r="Y9" s="216"/>
    </row>
    <row r="10" spans="1:25" ht="27.6">
      <c r="A10" s="447"/>
      <c r="B10" s="375">
        <v>53050010001</v>
      </c>
      <c r="C10" s="375" t="s">
        <v>117</v>
      </c>
      <c r="D10" s="458" t="s">
        <v>4295</v>
      </c>
      <c r="E10" s="375"/>
      <c r="F10" s="482"/>
      <c r="G10" s="2227"/>
      <c r="H10" s="482"/>
      <c r="I10" s="374"/>
      <c r="J10" s="374"/>
      <c r="K10" s="2228"/>
      <c r="L10" s="375"/>
      <c r="M10" s="376"/>
      <c r="N10" s="2226"/>
      <c r="O10" s="2226"/>
      <c r="P10" s="591"/>
      <c r="Q10" s="216"/>
      <c r="R10" s="216"/>
      <c r="S10" s="216"/>
      <c r="T10" s="216"/>
      <c r="U10" s="216"/>
      <c r="V10" s="216"/>
      <c r="W10" s="216"/>
      <c r="X10" s="216"/>
      <c r="Y10" s="216"/>
    </row>
    <row r="11" spans="1:25">
      <c r="A11" s="2878">
        <v>4163</v>
      </c>
      <c r="B11" s="2878"/>
      <c r="C11" s="2878" t="s">
        <v>123</v>
      </c>
      <c r="D11" s="3240" t="s">
        <v>4296</v>
      </c>
      <c r="E11" s="393" t="s">
        <v>4297</v>
      </c>
      <c r="F11" s="393"/>
      <c r="G11" s="2229"/>
      <c r="H11" s="552"/>
      <c r="I11" s="382"/>
      <c r="J11" s="382"/>
      <c r="K11" s="383">
        <f>K12</f>
        <v>1500</v>
      </c>
      <c r="L11" s="384">
        <f>L12</f>
        <v>1</v>
      </c>
      <c r="M11" s="803"/>
      <c r="N11" s="2230">
        <f>SUM(N12:N12)</f>
        <v>0.2</v>
      </c>
      <c r="O11" s="3237">
        <f>IF(Q11&gt;0, N11,"na")</f>
        <v>0.2</v>
      </c>
      <c r="P11" s="383">
        <f>SUM(P12:P12)</f>
        <v>1118937620</v>
      </c>
      <c r="Q11" s="383">
        <f>SUM(Q12:Q12)</f>
        <v>1118937620</v>
      </c>
      <c r="R11" s="383">
        <f>SUM(R12:R12)</f>
        <v>182872000</v>
      </c>
      <c r="S11" s="383">
        <f>SUM(S12:S12)</f>
        <v>132716000</v>
      </c>
      <c r="T11" s="2231">
        <f t="shared" ref="T11:U12" si="0">IF(Q11=0,0,R11/Q11)</f>
        <v>0.16343359695065038</v>
      </c>
      <c r="U11" s="2231">
        <f t="shared" si="0"/>
        <v>0.72573165930268169</v>
      </c>
      <c r="V11" s="216"/>
      <c r="W11" s="216"/>
      <c r="X11" s="549"/>
      <c r="Y11" s="2926" t="s">
        <v>4298</v>
      </c>
    </row>
    <row r="12" spans="1:25" ht="184.8">
      <c r="A12" s="2878"/>
      <c r="B12" s="2878"/>
      <c r="C12" s="2878"/>
      <c r="D12" s="3240"/>
      <c r="E12" s="393" t="s">
        <v>4299</v>
      </c>
      <c r="F12" s="393"/>
      <c r="G12" s="2232" t="s">
        <v>4300</v>
      </c>
      <c r="H12" s="552"/>
      <c r="I12" s="382" t="s">
        <v>4301</v>
      </c>
      <c r="J12" s="382" t="s">
        <v>138</v>
      </c>
      <c r="K12" s="383">
        <v>1500</v>
      </c>
      <c r="L12" s="384">
        <v>1</v>
      </c>
      <c r="M12" s="803">
        <v>322</v>
      </c>
      <c r="N12" s="2230">
        <v>0.2</v>
      </c>
      <c r="O12" s="3237"/>
      <c r="P12" s="383">
        <v>1118937620</v>
      </c>
      <c r="Q12" s="383">
        <v>1118937620</v>
      </c>
      <c r="R12" s="383">
        <v>182872000</v>
      </c>
      <c r="S12" s="383">
        <v>132716000</v>
      </c>
      <c r="T12" s="2231">
        <f t="shared" si="0"/>
        <v>0.16343359695065038</v>
      </c>
      <c r="U12" s="2231">
        <f t="shared" si="0"/>
        <v>0.72573165930268169</v>
      </c>
      <c r="V12" s="563">
        <v>45314</v>
      </c>
      <c r="W12" s="563">
        <v>45657</v>
      </c>
      <c r="X12" s="212" t="s">
        <v>4302</v>
      </c>
      <c r="Y12" s="2926"/>
    </row>
    <row r="13" spans="1:25" ht="27.6">
      <c r="A13" s="447"/>
      <c r="B13" s="375">
        <v>53050010002</v>
      </c>
      <c r="C13" s="375" t="s">
        <v>117</v>
      </c>
      <c r="D13" s="458" t="s">
        <v>4303</v>
      </c>
      <c r="E13" s="375"/>
      <c r="F13" s="2233"/>
      <c r="G13" s="2227"/>
      <c r="H13" s="2233"/>
      <c r="I13" s="374"/>
      <c r="J13" s="374"/>
      <c r="K13" s="375"/>
      <c r="L13" s="375"/>
      <c r="M13" s="376"/>
      <c r="N13" s="2226"/>
      <c r="O13" s="2259"/>
      <c r="P13" s="591"/>
      <c r="Q13" s="216"/>
      <c r="R13" s="216"/>
      <c r="S13" s="216"/>
      <c r="T13" s="216"/>
      <c r="U13" s="216"/>
      <c r="V13" s="216"/>
      <c r="W13" s="216"/>
      <c r="X13" s="216"/>
      <c r="Y13" s="216"/>
    </row>
    <row r="14" spans="1:25">
      <c r="A14" s="2878">
        <v>4163</v>
      </c>
      <c r="B14" s="3264"/>
      <c r="C14" s="2878" t="s">
        <v>123</v>
      </c>
      <c r="D14" s="3240" t="s">
        <v>4304</v>
      </c>
      <c r="E14" s="393" t="s">
        <v>4305</v>
      </c>
      <c r="F14" s="393"/>
      <c r="G14" s="2229"/>
      <c r="H14" s="2234"/>
      <c r="I14" s="382"/>
      <c r="J14" s="382"/>
      <c r="K14" s="383">
        <f>K15</f>
        <v>1</v>
      </c>
      <c r="L14" s="384">
        <f>SUM(L15:L16)</f>
        <v>1</v>
      </c>
      <c r="M14" s="2235"/>
      <c r="N14" s="2230">
        <f>SUM(N15:N16)</f>
        <v>3.3000000000000002E-2</v>
      </c>
      <c r="O14" s="3237">
        <f>IF(Q14&gt;0, N14,"na")</f>
        <v>3.3000000000000002E-2</v>
      </c>
      <c r="P14" s="383">
        <f>SUM(P15:P16)</f>
        <v>204818040</v>
      </c>
      <c r="Q14" s="383">
        <f>SUM(Q15:Q16)</f>
        <v>204818040</v>
      </c>
      <c r="R14" s="383">
        <f>SUM(R15:R16)</f>
        <v>20412000</v>
      </c>
      <c r="S14" s="383">
        <f>SUM(S15:S16)</f>
        <v>9840000</v>
      </c>
      <c r="T14" s="2231">
        <f t="shared" ref="T14:U16" si="1">IF(Q14=0,0,R14/Q14)</f>
        <v>9.9659190176802789E-2</v>
      </c>
      <c r="U14" s="2231">
        <f t="shared" si="1"/>
        <v>0.48206937095825986</v>
      </c>
      <c r="V14" s="216"/>
      <c r="W14" s="216"/>
      <c r="X14" s="549"/>
      <c r="Y14" s="549"/>
    </row>
    <row r="15" spans="1:25" ht="92.4">
      <c r="A15" s="2878"/>
      <c r="B15" s="3264"/>
      <c r="C15" s="2878"/>
      <c r="D15" s="3240"/>
      <c r="E15" s="393" t="s">
        <v>4306</v>
      </c>
      <c r="F15" s="393"/>
      <c r="G15" s="3030" t="s">
        <v>4307</v>
      </c>
      <c r="H15" s="3266"/>
      <c r="I15" s="382" t="s">
        <v>4308</v>
      </c>
      <c r="J15" s="382" t="s">
        <v>4309</v>
      </c>
      <c r="K15" s="465">
        <v>1</v>
      </c>
      <c r="L15" s="384">
        <v>0.5</v>
      </c>
      <c r="M15" s="803">
        <v>0</v>
      </c>
      <c r="N15" s="2230">
        <v>0</v>
      </c>
      <c r="O15" s="3237"/>
      <c r="P15" s="383">
        <v>77354760</v>
      </c>
      <c r="Q15" s="383">
        <v>77354760</v>
      </c>
      <c r="R15" s="383">
        <v>0</v>
      </c>
      <c r="S15" s="383">
        <v>0</v>
      </c>
      <c r="T15" s="2231">
        <f t="shared" si="1"/>
        <v>0</v>
      </c>
      <c r="U15" s="2231">
        <f t="shared" si="1"/>
        <v>0</v>
      </c>
      <c r="V15" s="563">
        <v>45314</v>
      </c>
      <c r="W15" s="563">
        <v>45657</v>
      </c>
      <c r="X15" s="212" t="s">
        <v>4310</v>
      </c>
      <c r="Y15" s="2926" t="s">
        <v>4298</v>
      </c>
    </row>
    <row r="16" spans="1:25" ht="105.6">
      <c r="A16" s="2878"/>
      <c r="B16" s="3264"/>
      <c r="C16" s="2878"/>
      <c r="D16" s="3240"/>
      <c r="E16" s="393" t="s">
        <v>4311</v>
      </c>
      <c r="F16" s="393"/>
      <c r="G16" s="3030"/>
      <c r="H16" s="3266"/>
      <c r="I16" s="382" t="s">
        <v>4312</v>
      </c>
      <c r="J16" s="382" t="s">
        <v>4313</v>
      </c>
      <c r="K16" s="465">
        <v>1</v>
      </c>
      <c r="L16" s="384">
        <v>0.5</v>
      </c>
      <c r="M16" s="2236">
        <v>0</v>
      </c>
      <c r="N16" s="2230">
        <v>3.3000000000000002E-2</v>
      </c>
      <c r="O16" s="3237"/>
      <c r="P16" s="383">
        <v>127463280</v>
      </c>
      <c r="Q16" s="383">
        <v>127463280</v>
      </c>
      <c r="R16" s="383">
        <v>20412000</v>
      </c>
      <c r="S16" s="383">
        <v>9840000</v>
      </c>
      <c r="T16" s="2231">
        <f t="shared" si="1"/>
        <v>0.16014023803561309</v>
      </c>
      <c r="U16" s="2231">
        <f t="shared" si="1"/>
        <v>0.48206937095825986</v>
      </c>
      <c r="V16" s="563">
        <v>45314</v>
      </c>
      <c r="W16" s="563">
        <v>45657</v>
      </c>
      <c r="X16" s="212" t="s">
        <v>4314</v>
      </c>
      <c r="Y16" s="2926"/>
    </row>
    <row r="17" spans="1:25">
      <c r="A17" s="447"/>
      <c r="B17" s="375">
        <v>53050010003</v>
      </c>
      <c r="C17" s="375" t="s">
        <v>117</v>
      </c>
      <c r="D17" s="458" t="s">
        <v>4315</v>
      </c>
      <c r="E17" s="375"/>
      <c r="F17" s="482"/>
      <c r="G17" s="2227"/>
      <c r="H17" s="482"/>
      <c r="I17" s="374"/>
      <c r="J17" s="374"/>
      <c r="K17" s="375"/>
      <c r="L17" s="375"/>
      <c r="M17" s="376"/>
      <c r="N17" s="2226"/>
      <c r="O17" s="2259"/>
      <c r="P17" s="591"/>
      <c r="Q17" s="216"/>
      <c r="R17" s="216"/>
      <c r="S17" s="216"/>
      <c r="T17" s="216"/>
      <c r="U17" s="216"/>
      <c r="V17" s="216"/>
      <c r="W17" s="216"/>
      <c r="X17" s="216"/>
      <c r="Y17" s="216"/>
    </row>
    <row r="18" spans="1:25">
      <c r="A18" s="2878">
        <v>4163</v>
      </c>
      <c r="B18" s="2878"/>
      <c r="C18" s="2878" t="s">
        <v>123</v>
      </c>
      <c r="D18" s="3240" t="s">
        <v>4316</v>
      </c>
      <c r="E18" s="393" t="s">
        <v>4317</v>
      </c>
      <c r="F18" s="393"/>
      <c r="G18" s="2229"/>
      <c r="H18" s="2237"/>
      <c r="I18" s="382"/>
      <c r="J18" s="382"/>
      <c r="K18" s="383">
        <f>K19</f>
        <v>1</v>
      </c>
      <c r="L18" s="384">
        <f>L19</f>
        <v>0.5</v>
      </c>
      <c r="M18" s="803"/>
      <c r="N18" s="2230">
        <f>SUM(N19:N20)</f>
        <v>0.20700000000000002</v>
      </c>
      <c r="O18" s="3237">
        <f>IF(Q18&gt;0, N18,"na")</f>
        <v>0.20700000000000002</v>
      </c>
      <c r="P18" s="383">
        <f>SUM(P19:P20)</f>
        <v>1891900480</v>
      </c>
      <c r="Q18" s="383">
        <f>SUM(Q19:Q20)</f>
        <v>1891900480</v>
      </c>
      <c r="R18" s="383">
        <f>SUM(R19:R20)</f>
        <v>480436000</v>
      </c>
      <c r="S18" s="383">
        <f>SUM(S19:S20)</f>
        <v>326427000</v>
      </c>
      <c r="T18" s="2231">
        <f t="shared" ref="T18:U20" si="2">IF(Q18=0,0,R18/Q18)</f>
        <v>0.25394359009835443</v>
      </c>
      <c r="U18" s="2231">
        <f t="shared" si="2"/>
        <v>0.67943909282401815</v>
      </c>
      <c r="V18" s="216"/>
      <c r="W18" s="216"/>
      <c r="X18" s="549"/>
      <c r="Y18" s="2926" t="s">
        <v>4298</v>
      </c>
    </row>
    <row r="19" spans="1:25" ht="118.8">
      <c r="A19" s="2878"/>
      <c r="B19" s="2878"/>
      <c r="C19" s="2878"/>
      <c r="D19" s="3240"/>
      <c r="E19" s="393" t="s">
        <v>4318</v>
      </c>
      <c r="F19" s="393"/>
      <c r="G19" s="2232" t="s">
        <v>4319</v>
      </c>
      <c r="H19" s="2238"/>
      <c r="I19" s="382" t="s">
        <v>4320</v>
      </c>
      <c r="J19" s="382" t="s">
        <v>207</v>
      </c>
      <c r="K19" s="383">
        <v>1</v>
      </c>
      <c r="L19" s="384">
        <v>0.5</v>
      </c>
      <c r="M19" s="803">
        <v>0</v>
      </c>
      <c r="N19" s="2230">
        <v>9.4E-2</v>
      </c>
      <c r="O19" s="3237"/>
      <c r="P19" s="383">
        <v>155877540</v>
      </c>
      <c r="Q19" s="383">
        <v>155877540</v>
      </c>
      <c r="R19" s="383">
        <v>40832000</v>
      </c>
      <c r="S19" s="383">
        <v>30624000</v>
      </c>
      <c r="T19" s="2231">
        <f t="shared" si="2"/>
        <v>0.26194921988119646</v>
      </c>
      <c r="U19" s="2231">
        <f t="shared" si="2"/>
        <v>0.75</v>
      </c>
      <c r="V19" s="563">
        <v>45314</v>
      </c>
      <c r="W19" s="563">
        <v>45657</v>
      </c>
      <c r="X19" s="212" t="s">
        <v>4321</v>
      </c>
      <c r="Y19" s="2926"/>
    </row>
    <row r="20" spans="1:25" ht="145.19999999999999">
      <c r="A20" s="393"/>
      <c r="B20" s="2878"/>
      <c r="C20" s="2878"/>
      <c r="D20" s="3240"/>
      <c r="E20" s="393" t="s">
        <v>4322</v>
      </c>
      <c r="F20" s="393"/>
      <c r="G20" s="2232"/>
      <c r="H20" s="2238"/>
      <c r="I20" s="382" t="s">
        <v>4323</v>
      </c>
      <c r="J20" s="382" t="s">
        <v>4324</v>
      </c>
      <c r="K20" s="383">
        <v>1</v>
      </c>
      <c r="L20" s="384">
        <v>0.5</v>
      </c>
      <c r="M20" s="803">
        <v>1</v>
      </c>
      <c r="N20" s="2230">
        <v>0.113</v>
      </c>
      <c r="O20" s="3265"/>
      <c r="P20" s="383">
        <v>1736022940</v>
      </c>
      <c r="Q20" s="383">
        <v>1736022940</v>
      </c>
      <c r="R20" s="383">
        <v>439604000</v>
      </c>
      <c r="S20" s="383">
        <v>295803000</v>
      </c>
      <c r="T20" s="2231">
        <f t="shared" si="2"/>
        <v>0.25322476441469144</v>
      </c>
      <c r="U20" s="2231">
        <f t="shared" si="2"/>
        <v>0.67288514208241967</v>
      </c>
      <c r="V20" s="563">
        <v>45314</v>
      </c>
      <c r="W20" s="563">
        <v>45657</v>
      </c>
      <c r="X20" s="212" t="s">
        <v>4325</v>
      </c>
      <c r="Y20" s="226"/>
    </row>
    <row r="21" spans="1:25" ht="27.6">
      <c r="A21" s="447"/>
      <c r="B21" s="375">
        <v>53050010004</v>
      </c>
      <c r="C21" s="375" t="s">
        <v>117</v>
      </c>
      <c r="D21" s="458" t="s">
        <v>4326</v>
      </c>
      <c r="E21" s="375"/>
      <c r="F21" s="2233"/>
      <c r="G21" s="2227"/>
      <c r="H21" s="2239"/>
      <c r="I21" s="374"/>
      <c r="J21" s="374"/>
      <c r="K21" s="375"/>
      <c r="L21" s="375"/>
      <c r="M21" s="376"/>
      <c r="N21" s="2226"/>
      <c r="O21" s="2259"/>
      <c r="P21" s="591"/>
      <c r="Q21" s="216"/>
      <c r="R21" s="216"/>
      <c r="S21" s="216"/>
      <c r="T21" s="216"/>
      <c r="U21" s="216"/>
      <c r="V21" s="216"/>
      <c r="W21" s="216"/>
      <c r="X21" s="216"/>
      <c r="Y21" s="216"/>
    </row>
    <row r="22" spans="1:25">
      <c r="A22" s="2878">
        <v>4163</v>
      </c>
      <c r="B22" s="2878"/>
      <c r="C22" s="2878" t="s">
        <v>123</v>
      </c>
      <c r="D22" s="3240" t="s">
        <v>4327</v>
      </c>
      <c r="E22" s="393" t="s">
        <v>4328</v>
      </c>
      <c r="F22" s="393"/>
      <c r="G22" s="2229"/>
      <c r="H22" s="2240"/>
      <c r="I22" s="382"/>
      <c r="J22" s="382"/>
      <c r="K22" s="383">
        <f>K23</f>
        <v>1</v>
      </c>
      <c r="L22" s="384">
        <f>L23</f>
        <v>1</v>
      </c>
      <c r="M22" s="803"/>
      <c r="N22" s="2230">
        <f>SUM(N23:N23)</f>
        <v>0.02</v>
      </c>
      <c r="O22" s="3237">
        <f>IF(Q22&gt;0, N22,"na")</f>
        <v>0.02</v>
      </c>
      <c r="P22" s="383">
        <f>SUM(P23:P23)</f>
        <v>1101630784</v>
      </c>
      <c r="Q22" s="383">
        <f>SUM(Q23:Q23)</f>
        <v>1101630784</v>
      </c>
      <c r="R22" s="383">
        <f>SUM(R23:R23)</f>
        <v>33788000</v>
      </c>
      <c r="S22" s="383">
        <f>SUM(S23:S23)</f>
        <v>19497000</v>
      </c>
      <c r="T22" s="2231">
        <f>IF(Q22=0,0,R22/Q22)</f>
        <v>3.0670893089349255E-2</v>
      </c>
      <c r="U22" s="2231">
        <f>IF(R22=0,0,S22/R22)</f>
        <v>0.57703918550964839</v>
      </c>
      <c r="V22" s="216"/>
      <c r="W22" s="216"/>
      <c r="X22" s="549"/>
      <c r="Y22" s="2926" t="s">
        <v>4298</v>
      </c>
    </row>
    <row r="23" spans="1:25" ht="198">
      <c r="A23" s="2878"/>
      <c r="B23" s="2878"/>
      <c r="C23" s="2878"/>
      <c r="D23" s="3240"/>
      <c r="E23" s="393" t="s">
        <v>4329</v>
      </c>
      <c r="F23" s="393"/>
      <c r="G23" s="2232" t="s">
        <v>4330</v>
      </c>
      <c r="H23" s="2240"/>
      <c r="I23" s="382" t="s">
        <v>4331</v>
      </c>
      <c r="J23" s="382" t="s">
        <v>4332</v>
      </c>
      <c r="K23" s="383">
        <v>1</v>
      </c>
      <c r="L23" s="384">
        <v>1</v>
      </c>
      <c r="M23" s="803">
        <v>0</v>
      </c>
      <c r="N23" s="2230">
        <v>0.02</v>
      </c>
      <c r="O23" s="3237"/>
      <c r="P23" s="383">
        <v>1101630784</v>
      </c>
      <c r="Q23" s="383">
        <v>1101630784</v>
      </c>
      <c r="R23" s="383">
        <v>33788000</v>
      </c>
      <c r="S23" s="383">
        <v>19497000</v>
      </c>
      <c r="T23" s="2231">
        <f>IF(Q23=0,0,R23/Q23)</f>
        <v>3.0670893089349255E-2</v>
      </c>
      <c r="U23" s="2231">
        <f>IF(R23=0,0,S23/R23)</f>
        <v>0.57703918550964839</v>
      </c>
      <c r="V23" s="563">
        <v>45314</v>
      </c>
      <c r="W23" s="563">
        <v>45657</v>
      </c>
      <c r="X23" s="212" t="s">
        <v>4333</v>
      </c>
      <c r="Y23" s="2926"/>
    </row>
    <row r="24" spans="1:25">
      <c r="A24" s="399"/>
      <c r="B24" s="491">
        <v>5305002</v>
      </c>
      <c r="C24" s="2223" t="s">
        <v>116</v>
      </c>
      <c r="D24" s="1918" t="s">
        <v>4334</v>
      </c>
      <c r="E24" s="2224"/>
      <c r="F24" s="399"/>
      <c r="G24" s="399"/>
      <c r="H24" s="399"/>
      <c r="I24" s="399"/>
      <c r="J24" s="399"/>
      <c r="K24" s="399"/>
      <c r="L24" s="399"/>
      <c r="M24" s="376"/>
      <c r="N24" s="2226"/>
      <c r="O24" s="2259"/>
      <c r="P24" s="591"/>
      <c r="Q24" s="216"/>
      <c r="R24" s="216"/>
      <c r="S24" s="216"/>
      <c r="T24" s="216"/>
      <c r="U24" s="216"/>
      <c r="V24" s="216"/>
      <c r="W24" s="216"/>
      <c r="X24" s="216"/>
      <c r="Y24" s="216"/>
    </row>
    <row r="25" spans="1:25" ht="27.6">
      <c r="A25" s="492"/>
      <c r="B25" s="375">
        <v>53050020008</v>
      </c>
      <c r="C25" s="375" t="s">
        <v>117</v>
      </c>
      <c r="D25" s="458" t="s">
        <v>4335</v>
      </c>
      <c r="E25" s="393"/>
      <c r="F25" s="482"/>
      <c r="G25" s="2115"/>
      <c r="H25" s="2241"/>
      <c r="I25" s="1019"/>
      <c r="J25" s="1019"/>
      <c r="K25" s="393"/>
      <c r="L25" s="2242"/>
      <c r="M25" s="803"/>
      <c r="N25" s="2243"/>
      <c r="O25" s="2094"/>
      <c r="P25" s="383"/>
      <c r="Q25" s="216"/>
      <c r="R25" s="216"/>
      <c r="S25" s="216"/>
      <c r="T25" s="216"/>
      <c r="U25" s="216"/>
      <c r="V25" s="216"/>
      <c r="W25" s="216"/>
      <c r="X25" s="549"/>
      <c r="Y25" s="549"/>
    </row>
    <row r="26" spans="1:25">
      <c r="A26" s="2878">
        <v>4163</v>
      </c>
      <c r="B26" s="2878"/>
      <c r="C26" s="2878" t="s">
        <v>123</v>
      </c>
      <c r="D26" s="3240" t="s">
        <v>4336</v>
      </c>
      <c r="E26" s="393" t="s">
        <v>4337</v>
      </c>
      <c r="F26" s="491"/>
      <c r="G26" s="379"/>
      <c r="H26" s="2237"/>
      <c r="I26" s="2244"/>
      <c r="J26" s="2244"/>
      <c r="K26" s="465">
        <f>K27</f>
        <v>300</v>
      </c>
      <c r="L26" s="1859">
        <f>SUM(L27)</f>
        <v>1</v>
      </c>
      <c r="M26" s="803"/>
      <c r="N26" s="2230">
        <f>SUM(N27)</f>
        <v>7.4999999999999997E-2</v>
      </c>
      <c r="O26" s="3237">
        <f>IF(Q26&gt;0, N26,"na")</f>
        <v>7.4999999999999997E-2</v>
      </c>
      <c r="P26" s="383">
        <f>SUM(P27:P27)</f>
        <v>305180200</v>
      </c>
      <c r="Q26" s="383">
        <f>SUM(Q27:Q27)</f>
        <v>305180200</v>
      </c>
      <c r="R26" s="383">
        <f>SUM(R27:R27)</f>
        <v>20924000</v>
      </c>
      <c r="S26" s="383">
        <f>SUM(S27:S27)</f>
        <v>15693000</v>
      </c>
      <c r="T26" s="2231">
        <f t="shared" ref="T26:U30" si="3">IF(Q26=0,0,R26/Q26)</f>
        <v>6.8562770454963992E-2</v>
      </c>
      <c r="U26" s="2231">
        <f t="shared" si="3"/>
        <v>0.75</v>
      </c>
      <c r="V26" s="216"/>
      <c r="W26" s="216"/>
      <c r="X26" s="549"/>
      <c r="Y26" s="2926" t="s">
        <v>4298</v>
      </c>
    </row>
    <row r="27" spans="1:25" ht="158.4">
      <c r="A27" s="3077"/>
      <c r="B27" s="3077"/>
      <c r="C27" s="2878"/>
      <c r="D27" s="3086"/>
      <c r="E27" s="393" t="s">
        <v>4338</v>
      </c>
      <c r="F27" s="393"/>
      <c r="G27" s="382" t="s">
        <v>4339</v>
      </c>
      <c r="H27" s="393"/>
      <c r="I27" s="382" t="s">
        <v>4340</v>
      </c>
      <c r="J27" s="382" t="s">
        <v>120</v>
      </c>
      <c r="K27" s="465">
        <v>300</v>
      </c>
      <c r="L27" s="2230">
        <v>1</v>
      </c>
      <c r="M27" s="803">
        <v>0</v>
      </c>
      <c r="N27" s="2230">
        <v>7.4999999999999997E-2</v>
      </c>
      <c r="O27" s="3237"/>
      <c r="P27" s="383">
        <v>305180200</v>
      </c>
      <c r="Q27" s="383">
        <v>305180200</v>
      </c>
      <c r="R27" s="383">
        <v>20924000</v>
      </c>
      <c r="S27" s="383">
        <v>15693000</v>
      </c>
      <c r="T27" s="2231">
        <f t="shared" si="3"/>
        <v>6.8562770454963992E-2</v>
      </c>
      <c r="U27" s="2231">
        <f t="shared" si="3"/>
        <v>0.75</v>
      </c>
      <c r="V27" s="563">
        <v>45314</v>
      </c>
      <c r="W27" s="563">
        <v>45657</v>
      </c>
      <c r="X27" s="2245" t="s">
        <v>4341</v>
      </c>
      <c r="Y27" s="2926"/>
    </row>
    <row r="28" spans="1:25">
      <c r="A28" s="2878">
        <v>4163</v>
      </c>
      <c r="B28" s="3264"/>
      <c r="C28" s="2878" t="s">
        <v>123</v>
      </c>
      <c r="D28" s="3240" t="s">
        <v>4342</v>
      </c>
      <c r="E28" s="393" t="s">
        <v>4343</v>
      </c>
      <c r="F28" s="393"/>
      <c r="G28" s="2229"/>
      <c r="H28" s="2246"/>
      <c r="I28" s="382"/>
      <c r="J28" s="382"/>
      <c r="K28" s="383">
        <f>K30</f>
        <v>2000</v>
      </c>
      <c r="L28" s="384">
        <f>SUM(L29:L30)</f>
        <v>1</v>
      </c>
      <c r="M28" s="2235"/>
      <c r="N28" s="2230">
        <f>SUM(N29:N30)</f>
        <v>9.5000000000000001E-2</v>
      </c>
      <c r="O28" s="3237">
        <f>IF(Q28&gt;0, N28,"na")</f>
        <v>9.5000000000000001E-2</v>
      </c>
      <c r="P28" s="383">
        <f>SUM(P29:P30)</f>
        <v>328161020</v>
      </c>
      <c r="Q28" s="383">
        <f>SUM(Q29:Q30)</f>
        <v>328161020</v>
      </c>
      <c r="R28" s="383">
        <f>SUM(R29:R30)</f>
        <v>70724000</v>
      </c>
      <c r="S28" s="383">
        <f>SUM(S29:S30)</f>
        <v>47885000</v>
      </c>
      <c r="T28" s="2231">
        <f t="shared" si="3"/>
        <v>0.2155161511869996</v>
      </c>
      <c r="U28" s="2231">
        <f t="shared" si="3"/>
        <v>0.67706860471692776</v>
      </c>
      <c r="V28" s="216"/>
      <c r="W28" s="216"/>
      <c r="X28" s="549"/>
      <c r="Y28" s="549"/>
    </row>
    <row r="29" spans="1:25" ht="79.2">
      <c r="A29" s="2878"/>
      <c r="B29" s="3264"/>
      <c r="C29" s="2878"/>
      <c r="D29" s="3240"/>
      <c r="E29" s="393" t="s">
        <v>4344</v>
      </c>
      <c r="F29" s="393"/>
      <c r="G29" s="474"/>
      <c r="H29" s="570"/>
      <c r="I29" s="382" t="s">
        <v>4345</v>
      </c>
      <c r="J29" s="382" t="s">
        <v>207</v>
      </c>
      <c r="K29" s="465">
        <v>170</v>
      </c>
      <c r="L29" s="384">
        <v>0.5</v>
      </c>
      <c r="M29" s="803">
        <v>0</v>
      </c>
      <c r="N29" s="251">
        <v>6.5000000000000002E-2</v>
      </c>
      <c r="O29" s="3237"/>
      <c r="P29" s="383">
        <v>81082720</v>
      </c>
      <c r="Q29" s="383">
        <v>81082720</v>
      </c>
      <c r="R29" s="383">
        <v>35508000</v>
      </c>
      <c r="S29" s="383">
        <v>26631000</v>
      </c>
      <c r="T29" s="2231">
        <f t="shared" si="3"/>
        <v>0.4379231481134328</v>
      </c>
      <c r="U29" s="2231">
        <f t="shared" si="3"/>
        <v>0.75</v>
      </c>
      <c r="V29" s="563">
        <v>45314</v>
      </c>
      <c r="W29" s="563">
        <v>45657</v>
      </c>
      <c r="X29" s="212" t="s">
        <v>4346</v>
      </c>
      <c r="Y29" s="2926" t="s">
        <v>4298</v>
      </c>
    </row>
    <row r="30" spans="1:25" ht="92.4">
      <c r="A30" s="2878"/>
      <c r="B30" s="3264"/>
      <c r="C30" s="2878"/>
      <c r="D30" s="3240"/>
      <c r="E30" s="393" t="s">
        <v>4347</v>
      </c>
      <c r="F30" s="393"/>
      <c r="G30" s="474" t="s">
        <v>4335</v>
      </c>
      <c r="H30" s="2237"/>
      <c r="I30" s="382" t="s">
        <v>4348</v>
      </c>
      <c r="J30" s="382" t="s">
        <v>120</v>
      </c>
      <c r="K30" s="465">
        <v>2000</v>
      </c>
      <c r="L30" s="384">
        <v>0.5</v>
      </c>
      <c r="M30" s="2236">
        <v>0</v>
      </c>
      <c r="N30" s="2230">
        <v>0.03</v>
      </c>
      <c r="O30" s="3237"/>
      <c r="P30" s="383">
        <v>247078300</v>
      </c>
      <c r="Q30" s="383">
        <v>247078300</v>
      </c>
      <c r="R30" s="383">
        <v>35216000</v>
      </c>
      <c r="S30" s="383">
        <v>21254000</v>
      </c>
      <c r="T30" s="2231">
        <f t="shared" si="3"/>
        <v>0.14252971628831831</v>
      </c>
      <c r="U30" s="2231">
        <f t="shared" si="3"/>
        <v>0.60353248523398451</v>
      </c>
      <c r="V30" s="563">
        <v>45314</v>
      </c>
      <c r="W30" s="563">
        <v>45657</v>
      </c>
      <c r="X30" s="212" t="s">
        <v>4349</v>
      </c>
      <c r="Y30" s="2926"/>
    </row>
    <row r="31" spans="1:25" ht="41.4">
      <c r="A31" s="1748"/>
      <c r="B31" s="375">
        <v>53050020009</v>
      </c>
      <c r="C31" s="375" t="s">
        <v>117</v>
      </c>
      <c r="D31" s="458" t="s">
        <v>4350</v>
      </c>
      <c r="E31" s="393"/>
      <c r="F31" s="482"/>
      <c r="G31" s="804"/>
      <c r="H31" s="570"/>
      <c r="I31" s="382"/>
      <c r="J31" s="382"/>
      <c r="K31" s="465"/>
      <c r="L31" s="486"/>
      <c r="M31" s="803"/>
      <c r="N31" s="2243"/>
      <c r="O31" s="2094"/>
      <c r="P31" s="383"/>
      <c r="Q31" s="216"/>
      <c r="R31" s="216"/>
      <c r="S31" s="216"/>
      <c r="T31" s="216"/>
      <c r="U31" s="216"/>
      <c r="V31" s="216"/>
      <c r="W31" s="216"/>
      <c r="X31" s="549"/>
      <c r="Y31" s="549"/>
    </row>
    <row r="32" spans="1:25">
      <c r="A32" s="2878">
        <v>4163</v>
      </c>
      <c r="B32" s="2878"/>
      <c r="C32" s="2878" t="s">
        <v>123</v>
      </c>
      <c r="D32" s="3240" t="s">
        <v>4351</v>
      </c>
      <c r="E32" s="393" t="s">
        <v>4352</v>
      </c>
      <c r="F32" s="482"/>
      <c r="G32" s="804"/>
      <c r="H32" s="570"/>
      <c r="I32" s="382"/>
      <c r="J32" s="382"/>
      <c r="K32" s="465">
        <f>K33</f>
        <v>400</v>
      </c>
      <c r="L32" s="384">
        <f>SUM(L33:L34)</f>
        <v>1</v>
      </c>
      <c r="M32" s="376"/>
      <c r="N32" s="2243">
        <f>SUM(N33:N34)</f>
        <v>0.02</v>
      </c>
      <c r="O32" s="3237">
        <f>IF(Q32&gt;0, N32,"na")</f>
        <v>0.02</v>
      </c>
      <c r="P32" s="383">
        <f>SUM(P33:P34)</f>
        <v>3454752000</v>
      </c>
      <c r="Q32" s="383">
        <f>SUM(Q33:Q34)</f>
        <v>3454752000</v>
      </c>
      <c r="R32" s="383">
        <f>SUM(R33:R34)</f>
        <v>1144973084</v>
      </c>
      <c r="S32" s="383">
        <f>SUM(S33:S34)</f>
        <v>388295012</v>
      </c>
      <c r="T32" s="2231">
        <f t="shared" ref="T32:U34" si="4">IF(Q32=0,0,R32/Q32)</f>
        <v>0.33141976153425773</v>
      </c>
      <c r="U32" s="2231">
        <f t="shared" si="4"/>
        <v>0.33913025330122082</v>
      </c>
      <c r="V32" s="216"/>
      <c r="W32" s="216"/>
      <c r="X32" s="549"/>
      <c r="Y32" s="2926" t="s">
        <v>4298</v>
      </c>
    </row>
    <row r="33" spans="1:25" ht="145.19999999999999">
      <c r="A33" s="2878"/>
      <c r="B33" s="2878"/>
      <c r="C33" s="2878"/>
      <c r="D33" s="3240"/>
      <c r="E33" s="393" t="s">
        <v>4353</v>
      </c>
      <c r="F33" s="482"/>
      <c r="G33" s="474" t="s">
        <v>4354</v>
      </c>
      <c r="H33" s="570"/>
      <c r="I33" s="382" t="s">
        <v>4355</v>
      </c>
      <c r="J33" s="382" t="s">
        <v>4356</v>
      </c>
      <c r="K33" s="465">
        <v>400</v>
      </c>
      <c r="L33" s="384">
        <v>0.7</v>
      </c>
      <c r="M33" s="803">
        <v>0</v>
      </c>
      <c r="N33" s="1085">
        <v>0</v>
      </c>
      <c r="O33" s="3237"/>
      <c r="P33" s="1081">
        <v>3193032000</v>
      </c>
      <c r="Q33" s="1081">
        <v>3193032000</v>
      </c>
      <c r="R33" s="383">
        <v>1050866084</v>
      </c>
      <c r="S33" s="383">
        <v>334689012</v>
      </c>
      <c r="T33" s="2231">
        <f t="shared" si="4"/>
        <v>0.32911229326859237</v>
      </c>
      <c r="U33" s="2231">
        <f>IF(R33=0,0,S33/R33)</f>
        <v>0.31848873714340942</v>
      </c>
      <c r="V33" s="2247">
        <v>45314</v>
      </c>
      <c r="W33" s="2247">
        <v>45657</v>
      </c>
      <c r="X33" s="857" t="s">
        <v>4357</v>
      </c>
      <c r="Y33" s="2926"/>
    </row>
    <row r="34" spans="1:25" ht="132">
      <c r="A34" s="2878"/>
      <c r="B34" s="2878"/>
      <c r="C34" s="2878"/>
      <c r="D34" s="3240"/>
      <c r="E34" s="393" t="s">
        <v>4358</v>
      </c>
      <c r="F34" s="482"/>
      <c r="G34" s="474"/>
      <c r="H34" s="570"/>
      <c r="I34" s="382" t="s">
        <v>4359</v>
      </c>
      <c r="J34" s="382" t="s">
        <v>4360</v>
      </c>
      <c r="K34" s="465">
        <v>1</v>
      </c>
      <c r="L34" s="384">
        <v>0.3</v>
      </c>
      <c r="M34" s="803">
        <v>0</v>
      </c>
      <c r="N34" s="1088">
        <v>0.02</v>
      </c>
      <c r="O34" s="3237"/>
      <c r="P34" s="1081">
        <v>261720000</v>
      </c>
      <c r="Q34" s="1081">
        <v>261720000</v>
      </c>
      <c r="R34" s="383">
        <v>94107000</v>
      </c>
      <c r="S34" s="383">
        <v>53606000</v>
      </c>
      <c r="T34" s="2231">
        <f t="shared" si="4"/>
        <v>0.35957129756992207</v>
      </c>
      <c r="U34" s="2231">
        <f t="shared" si="4"/>
        <v>0.56962818918890201</v>
      </c>
      <c r="V34" s="2247">
        <v>45314</v>
      </c>
      <c r="W34" s="2247">
        <v>45657</v>
      </c>
      <c r="X34" s="857" t="s">
        <v>4361</v>
      </c>
      <c r="Y34" s="2926"/>
    </row>
    <row r="35" spans="1:25">
      <c r="A35" s="399"/>
      <c r="B35" s="491">
        <v>5305003</v>
      </c>
      <c r="C35" s="2223" t="s">
        <v>116</v>
      </c>
      <c r="D35" s="1918" t="s">
        <v>4362</v>
      </c>
      <c r="E35" s="2224"/>
      <c r="F35" s="399"/>
      <c r="G35" s="399"/>
      <c r="H35" s="570"/>
      <c r="I35" s="399"/>
      <c r="J35" s="399"/>
      <c r="K35" s="399"/>
      <c r="L35" s="599"/>
      <c r="M35" s="803"/>
      <c r="N35" s="2243"/>
      <c r="O35" s="2094"/>
      <c r="P35" s="400"/>
      <c r="Q35" s="216"/>
      <c r="R35" s="216"/>
      <c r="S35" s="216"/>
      <c r="T35" s="216"/>
      <c r="U35" s="216"/>
      <c r="V35" s="216"/>
      <c r="W35" s="216"/>
      <c r="X35" s="549"/>
      <c r="Y35" s="549"/>
    </row>
    <row r="36" spans="1:25" ht="27.6">
      <c r="A36" s="492"/>
      <c r="B36" s="375">
        <v>53050030001</v>
      </c>
      <c r="C36" s="375" t="s">
        <v>117</v>
      </c>
      <c r="D36" s="458" t="s">
        <v>4363</v>
      </c>
      <c r="E36" s="393"/>
      <c r="F36" s="482"/>
      <c r="G36" s="2115"/>
      <c r="H36" s="799"/>
      <c r="I36" s="1019"/>
      <c r="J36" s="1019"/>
      <c r="K36" s="393"/>
      <c r="L36" s="2242"/>
      <c r="M36" s="803"/>
      <c r="N36" s="2243"/>
      <c r="O36" s="2094"/>
      <c r="P36" s="383"/>
      <c r="Q36" s="216"/>
      <c r="R36" s="216"/>
      <c r="S36" s="216"/>
      <c r="T36" s="216"/>
      <c r="U36" s="216"/>
      <c r="V36" s="216"/>
      <c r="W36" s="216"/>
      <c r="X36" s="549"/>
      <c r="Y36" s="549"/>
    </row>
    <row r="37" spans="1:25">
      <c r="A37" s="2878">
        <v>4163</v>
      </c>
      <c r="B37" s="2878"/>
      <c r="C37" s="2878" t="s">
        <v>123</v>
      </c>
      <c r="D37" s="3240" t="s">
        <v>4364</v>
      </c>
      <c r="E37" s="393" t="s">
        <v>4365</v>
      </c>
      <c r="F37" s="491"/>
      <c r="G37" s="379"/>
      <c r="H37" s="570"/>
      <c r="I37" s="2244"/>
      <c r="J37" s="2244"/>
      <c r="K37" s="465">
        <f>K39</f>
        <v>1</v>
      </c>
      <c r="L37" s="384">
        <f>SUM(L38:L39)</f>
        <v>1</v>
      </c>
      <c r="M37" s="803"/>
      <c r="N37" s="2230">
        <f>SUM(N38:N39)</f>
        <v>0.1</v>
      </c>
      <c r="O37" s="3237">
        <f>IF(Q37&gt;0, N37,"na")</f>
        <v>0.1</v>
      </c>
      <c r="P37" s="383">
        <f>SUM(P38:P39)</f>
        <v>28414742909</v>
      </c>
      <c r="Q37" s="383">
        <f>SUM(Q38:Q39)</f>
        <v>28414742909</v>
      </c>
      <c r="R37" s="383">
        <f>SUM(R38:R39)</f>
        <v>28414742909</v>
      </c>
      <c r="S37" s="383">
        <f>SUM(S38:S39)</f>
        <v>0</v>
      </c>
      <c r="T37" s="2231">
        <f t="shared" ref="T37:U44" si="5">IF(Q37=0,0,R37/Q37)</f>
        <v>1</v>
      </c>
      <c r="U37" s="2231">
        <f t="shared" si="5"/>
        <v>0</v>
      </c>
      <c r="V37" s="216"/>
      <c r="W37" s="216"/>
      <c r="X37" s="549"/>
      <c r="Y37" s="2926" t="s">
        <v>4298</v>
      </c>
    </row>
    <row r="38" spans="1:25" ht="145.19999999999999">
      <c r="A38" s="2878"/>
      <c r="B38" s="2878"/>
      <c r="C38" s="2878"/>
      <c r="D38" s="3240"/>
      <c r="E38" s="393" t="s">
        <v>4366</v>
      </c>
      <c r="F38" s="1844"/>
      <c r="G38" s="1844"/>
      <c r="H38" s="1844"/>
      <c r="I38" s="382" t="s">
        <v>4367</v>
      </c>
      <c r="J38" s="382" t="s">
        <v>4368</v>
      </c>
      <c r="K38" s="465">
        <v>11</v>
      </c>
      <c r="L38" s="384">
        <v>0.4</v>
      </c>
      <c r="M38" s="803">
        <v>0</v>
      </c>
      <c r="N38" s="2230">
        <v>0.04</v>
      </c>
      <c r="O38" s="3237"/>
      <c r="P38" s="383">
        <v>133000000</v>
      </c>
      <c r="Q38" s="383">
        <v>133000000</v>
      </c>
      <c r="R38" s="383">
        <v>133000000</v>
      </c>
      <c r="S38" s="383">
        <v>0</v>
      </c>
      <c r="T38" s="2231">
        <f t="shared" si="5"/>
        <v>1</v>
      </c>
      <c r="U38" s="2231">
        <f t="shared" si="5"/>
        <v>0</v>
      </c>
      <c r="V38" s="563">
        <v>45314</v>
      </c>
      <c r="W38" s="563">
        <v>45657</v>
      </c>
      <c r="X38" s="212" t="s">
        <v>4369</v>
      </c>
      <c r="Y38" s="2926"/>
    </row>
    <row r="39" spans="1:25" ht="132">
      <c r="A39" s="2878"/>
      <c r="B39" s="2878"/>
      <c r="C39" s="2878"/>
      <c r="D39" s="3240"/>
      <c r="E39" s="393" t="s">
        <v>4370</v>
      </c>
      <c r="F39" s="1844"/>
      <c r="G39" s="474" t="s">
        <v>4371</v>
      </c>
      <c r="H39" s="1844"/>
      <c r="I39" s="382" t="s">
        <v>4372</v>
      </c>
      <c r="J39" s="382" t="s">
        <v>4373</v>
      </c>
      <c r="K39" s="465">
        <v>1</v>
      </c>
      <c r="L39" s="384">
        <v>0.6</v>
      </c>
      <c r="M39" s="803">
        <v>1</v>
      </c>
      <c r="N39" s="2230">
        <v>0.06</v>
      </c>
      <c r="O39" s="3237"/>
      <c r="P39" s="383">
        <v>28281742909</v>
      </c>
      <c r="Q39" s="383">
        <v>28281742909</v>
      </c>
      <c r="R39" s="383">
        <v>28281742909</v>
      </c>
      <c r="S39" s="383">
        <v>0</v>
      </c>
      <c r="T39" s="2231">
        <f t="shared" si="5"/>
        <v>1</v>
      </c>
      <c r="U39" s="2231">
        <f t="shared" si="5"/>
        <v>0</v>
      </c>
      <c r="V39" s="563">
        <v>45314</v>
      </c>
      <c r="W39" s="563">
        <v>45657</v>
      </c>
      <c r="X39" s="212" t="s">
        <v>4374</v>
      </c>
      <c r="Y39" s="2926"/>
    </row>
    <row r="40" spans="1:25">
      <c r="A40" s="2878">
        <v>4163</v>
      </c>
      <c r="B40" s="2878"/>
      <c r="C40" s="2878" t="s">
        <v>123</v>
      </c>
      <c r="D40" s="3240" t="s">
        <v>4375</v>
      </c>
      <c r="E40" s="393" t="s">
        <v>4376</v>
      </c>
      <c r="F40" s="491"/>
      <c r="G40" s="379"/>
      <c r="H40" s="570"/>
      <c r="I40" s="1019"/>
      <c r="J40" s="1019"/>
      <c r="K40" s="465">
        <f>K41</f>
        <v>2</v>
      </c>
      <c r="L40" s="384">
        <f>SUM(L41:L41)</f>
        <v>1</v>
      </c>
      <c r="M40" s="803"/>
      <c r="N40" s="2230">
        <f>SUM(N41:N41)</f>
        <v>0</v>
      </c>
      <c r="O40" s="3237">
        <f>IF(Q40&gt;0, N40,"na")</f>
        <v>0</v>
      </c>
      <c r="P40" s="383">
        <f>SUM(P41:P41)</f>
        <v>600000000</v>
      </c>
      <c r="Q40" s="383">
        <f>SUM(Q41:Q41)</f>
        <v>600000000</v>
      </c>
      <c r="R40" s="383">
        <f>SUM(R41:R41)</f>
        <v>300000000</v>
      </c>
      <c r="S40" s="383">
        <f>SUM(S41:S41)</f>
        <v>0</v>
      </c>
      <c r="T40" s="2231">
        <f t="shared" si="5"/>
        <v>0.5</v>
      </c>
      <c r="U40" s="2231">
        <f t="shared" si="5"/>
        <v>0</v>
      </c>
      <c r="V40" s="216"/>
      <c r="W40" s="216"/>
      <c r="X40" s="549"/>
      <c r="Y40" s="2926" t="s">
        <v>4298</v>
      </c>
    </row>
    <row r="41" spans="1:25" ht="118.8">
      <c r="A41" s="2878"/>
      <c r="B41" s="2878"/>
      <c r="C41" s="2878"/>
      <c r="D41" s="3240"/>
      <c r="E41" s="393" t="s">
        <v>4377</v>
      </c>
      <c r="F41" s="393"/>
      <c r="G41" s="382" t="s">
        <v>4371</v>
      </c>
      <c r="H41" s="1844"/>
      <c r="I41" s="382" t="s">
        <v>4378</v>
      </c>
      <c r="J41" s="382" t="s">
        <v>4379</v>
      </c>
      <c r="K41" s="465">
        <v>2</v>
      </c>
      <c r="L41" s="384">
        <v>1</v>
      </c>
      <c r="M41" s="803">
        <v>0</v>
      </c>
      <c r="N41" s="2230">
        <v>0</v>
      </c>
      <c r="O41" s="3237"/>
      <c r="P41" s="383">
        <v>600000000</v>
      </c>
      <c r="Q41" s="383">
        <v>600000000</v>
      </c>
      <c r="R41" s="383">
        <v>300000000</v>
      </c>
      <c r="S41" s="383">
        <v>0</v>
      </c>
      <c r="T41" s="2231">
        <f t="shared" si="5"/>
        <v>0.5</v>
      </c>
      <c r="U41" s="2231">
        <f t="shared" si="5"/>
        <v>0</v>
      </c>
      <c r="V41" s="563">
        <v>45314</v>
      </c>
      <c r="W41" s="563">
        <v>45657</v>
      </c>
      <c r="X41" s="212" t="s">
        <v>4380</v>
      </c>
      <c r="Y41" s="2926"/>
    </row>
    <row r="42" spans="1:25">
      <c r="A42" s="492"/>
      <c r="B42" s="375">
        <v>53050030002</v>
      </c>
      <c r="C42" s="375" t="s">
        <v>117</v>
      </c>
      <c r="D42" s="458" t="s">
        <v>4381</v>
      </c>
      <c r="E42" s="393"/>
      <c r="F42" s="482"/>
      <c r="G42" s="2115"/>
      <c r="H42" s="799"/>
      <c r="I42" s="1019"/>
      <c r="J42" s="1019"/>
      <c r="K42" s="393"/>
      <c r="L42" s="2242"/>
      <c r="M42" s="803"/>
      <c r="N42" s="2243"/>
      <c r="O42" s="2260"/>
      <c r="P42" s="383"/>
      <c r="Q42" s="216"/>
      <c r="R42" s="216"/>
      <c r="S42" s="216"/>
      <c r="T42" s="2231"/>
      <c r="U42" s="2231"/>
      <c r="V42" s="216"/>
      <c r="W42" s="216"/>
      <c r="X42" s="549"/>
      <c r="Y42" s="549"/>
    </row>
    <row r="43" spans="1:25">
      <c r="A43" s="2878">
        <v>4163</v>
      </c>
      <c r="B43" s="2878"/>
      <c r="C43" s="2878" t="s">
        <v>123</v>
      </c>
      <c r="D43" s="3240" t="s">
        <v>4382</v>
      </c>
      <c r="E43" s="393" t="s">
        <v>4383</v>
      </c>
      <c r="F43" s="491"/>
      <c r="G43" s="379"/>
      <c r="H43" s="570"/>
      <c r="I43" s="1019"/>
      <c r="J43" s="1019"/>
      <c r="K43" s="465">
        <f>K44</f>
        <v>1</v>
      </c>
      <c r="L43" s="384">
        <f>L44</f>
        <v>1</v>
      </c>
      <c r="M43" s="803"/>
      <c r="N43" s="2230">
        <f>SUM(N44:N44)</f>
        <v>0.115</v>
      </c>
      <c r="O43" s="3237">
        <f>IF(Q43&gt;0, N43,"na")</f>
        <v>0.115</v>
      </c>
      <c r="P43" s="383">
        <f>SUM(P44:P44)</f>
        <v>727298080</v>
      </c>
      <c r="Q43" s="383">
        <f>SUM(Q44:Q44)</f>
        <v>727298080</v>
      </c>
      <c r="R43" s="383">
        <f>SUM(R44:R44)</f>
        <v>54320000</v>
      </c>
      <c r="S43" s="383">
        <f>SUM(S44:S44)</f>
        <v>40740000</v>
      </c>
      <c r="T43" s="2231">
        <f t="shared" si="5"/>
        <v>7.4687396397361591E-2</v>
      </c>
      <c r="U43" s="2231">
        <f t="shared" si="5"/>
        <v>0.75</v>
      </c>
      <c r="V43" s="216"/>
      <c r="W43" s="216"/>
      <c r="X43" s="549"/>
      <c r="Y43" s="2926" t="s">
        <v>4298</v>
      </c>
    </row>
    <row r="44" spans="1:25" ht="171.6">
      <c r="A44" s="2878"/>
      <c r="B44" s="2878"/>
      <c r="C44" s="2878"/>
      <c r="D44" s="3240" t="s">
        <v>4384</v>
      </c>
      <c r="E44" s="393" t="s">
        <v>4385</v>
      </c>
      <c r="F44" s="393"/>
      <c r="G44" s="382" t="s">
        <v>4386</v>
      </c>
      <c r="H44" s="1844"/>
      <c r="I44" s="382" t="s">
        <v>4387</v>
      </c>
      <c r="J44" s="382" t="s">
        <v>207</v>
      </c>
      <c r="K44" s="465">
        <v>1</v>
      </c>
      <c r="L44" s="384">
        <v>1</v>
      </c>
      <c r="M44" s="803">
        <v>0</v>
      </c>
      <c r="N44" s="2230">
        <v>0.115</v>
      </c>
      <c r="O44" s="3237"/>
      <c r="P44" s="383">
        <v>727298080</v>
      </c>
      <c r="Q44" s="383">
        <v>727298080</v>
      </c>
      <c r="R44" s="383">
        <v>54320000</v>
      </c>
      <c r="S44" s="383">
        <v>40740000</v>
      </c>
      <c r="T44" s="2231">
        <f t="shared" si="5"/>
        <v>7.4687396397361591E-2</v>
      </c>
      <c r="U44" s="2231">
        <f t="shared" si="5"/>
        <v>0.75</v>
      </c>
      <c r="V44" s="563">
        <v>45314</v>
      </c>
      <c r="W44" s="563">
        <v>45657</v>
      </c>
      <c r="X44" s="212" t="s">
        <v>4388</v>
      </c>
      <c r="Y44" s="2926"/>
    </row>
    <row r="45" spans="1:25">
      <c r="A45" s="447"/>
      <c r="B45" s="375">
        <v>53050030003</v>
      </c>
      <c r="C45" s="1748" t="s">
        <v>117</v>
      </c>
      <c r="D45" s="458" t="s">
        <v>4389</v>
      </c>
      <c r="E45" s="375"/>
      <c r="F45" s="2233">
        <v>0.33</v>
      </c>
      <c r="G45" s="2227"/>
      <c r="H45" s="2248"/>
      <c r="I45" s="374"/>
      <c r="J45" s="374"/>
      <c r="K45" s="375"/>
      <c r="L45" s="393"/>
      <c r="M45" s="803"/>
      <c r="N45" s="2243"/>
      <c r="O45" s="2094"/>
      <c r="P45" s="378"/>
      <c r="Q45" s="216"/>
      <c r="R45" s="216"/>
      <c r="S45" s="216"/>
      <c r="T45" s="216"/>
      <c r="U45" s="216"/>
      <c r="V45" s="216"/>
      <c r="W45" s="216"/>
      <c r="X45" s="549"/>
      <c r="Y45" s="549"/>
    </row>
    <row r="46" spans="1:25">
      <c r="A46" s="2878">
        <v>4163</v>
      </c>
      <c r="B46" s="2878"/>
      <c r="C46" s="2878" t="s">
        <v>123</v>
      </c>
      <c r="D46" s="3240" t="s">
        <v>4390</v>
      </c>
      <c r="E46" s="393" t="s">
        <v>4391</v>
      </c>
      <c r="F46" s="393"/>
      <c r="G46" s="2229"/>
      <c r="H46" s="2234"/>
      <c r="I46" s="382"/>
      <c r="J46" s="382"/>
      <c r="K46" s="383">
        <v>1</v>
      </c>
      <c r="L46" s="384">
        <f>SUM(L47:L49)</f>
        <v>1</v>
      </c>
      <c r="M46" s="549"/>
      <c r="N46" s="2230">
        <f>SUM(N47:N49)</f>
        <v>0.14599999999999999</v>
      </c>
      <c r="O46" s="3237">
        <f>IF(Q46&gt;0, N46,"na")</f>
        <v>0.14599999999999999</v>
      </c>
      <c r="P46" s="383">
        <f>SUM(P47:P49)</f>
        <v>2191552917</v>
      </c>
      <c r="Q46" s="383">
        <f>SUM(Q47:Q49)</f>
        <v>2191552917</v>
      </c>
      <c r="R46" s="383">
        <f>SUM(R47:R49)</f>
        <v>404002000</v>
      </c>
      <c r="S46" s="383">
        <f>SUM(S47:S49)</f>
        <v>267273000</v>
      </c>
      <c r="T46" s="2231">
        <f t="shared" ref="T46:U49" si="6">IF(Q46=0,0,R46/Q46)</f>
        <v>0.18434508099993097</v>
      </c>
      <c r="U46" s="2231">
        <f t="shared" si="6"/>
        <v>0.66156355661605637</v>
      </c>
      <c r="V46" s="216"/>
      <c r="W46" s="216"/>
      <c r="X46" s="549"/>
      <c r="Y46" s="245"/>
    </row>
    <row r="47" spans="1:25" ht="132">
      <c r="A47" s="2878"/>
      <c r="B47" s="2878"/>
      <c r="C47" s="2878"/>
      <c r="D47" s="3240"/>
      <c r="E47" s="393" t="s">
        <v>4392</v>
      </c>
      <c r="F47" s="393"/>
      <c r="G47" s="382"/>
      <c r="H47" s="2249"/>
      <c r="I47" s="382" t="s">
        <v>4393</v>
      </c>
      <c r="J47" s="382" t="s">
        <v>4394</v>
      </c>
      <c r="K47" s="383">
        <v>1900</v>
      </c>
      <c r="L47" s="384">
        <v>0.4</v>
      </c>
      <c r="M47" s="2250">
        <v>114</v>
      </c>
      <c r="N47" s="2230">
        <v>5.6000000000000001E-2</v>
      </c>
      <c r="O47" s="3237"/>
      <c r="P47" s="383">
        <v>1512134998</v>
      </c>
      <c r="Q47" s="383">
        <v>1482741998</v>
      </c>
      <c r="R47" s="383">
        <v>240754000</v>
      </c>
      <c r="S47" s="383">
        <v>156805000</v>
      </c>
      <c r="T47" s="2231">
        <f t="shared" si="6"/>
        <v>0.16237079702655052</v>
      </c>
      <c r="U47" s="2231">
        <f t="shared" si="6"/>
        <v>0.65130797411465646</v>
      </c>
      <c r="V47" s="563">
        <v>45315</v>
      </c>
      <c r="W47" s="563">
        <v>45657</v>
      </c>
      <c r="X47" s="212" t="s">
        <v>4395</v>
      </c>
      <c r="Y47" s="2926" t="s">
        <v>4298</v>
      </c>
    </row>
    <row r="48" spans="1:25" ht="158.4">
      <c r="A48" s="2878"/>
      <c r="B48" s="2878"/>
      <c r="C48" s="2878"/>
      <c r="D48" s="3240"/>
      <c r="E48" s="393" t="s">
        <v>4396</v>
      </c>
      <c r="F48" s="393"/>
      <c r="G48" s="382" t="s">
        <v>4397</v>
      </c>
      <c r="H48" s="2258"/>
      <c r="I48" s="382" t="s">
        <v>4398</v>
      </c>
      <c r="J48" s="382" t="s">
        <v>4399</v>
      </c>
      <c r="K48" s="383">
        <v>1</v>
      </c>
      <c r="L48" s="384">
        <v>0.3</v>
      </c>
      <c r="M48" s="2250">
        <v>0</v>
      </c>
      <c r="N48" s="2230">
        <v>0.06</v>
      </c>
      <c r="O48" s="3237"/>
      <c r="P48" s="383">
        <v>549313859</v>
      </c>
      <c r="Q48" s="383">
        <v>578706859</v>
      </c>
      <c r="R48" s="383">
        <v>163248000</v>
      </c>
      <c r="S48" s="383">
        <v>110468000</v>
      </c>
      <c r="T48" s="2231">
        <f t="shared" si="6"/>
        <v>0.2820910059405396</v>
      </c>
      <c r="U48" s="2231">
        <f t="shared" si="6"/>
        <v>0.67668822895226899</v>
      </c>
      <c r="V48" s="563">
        <v>45315</v>
      </c>
      <c r="W48" s="563">
        <v>45657</v>
      </c>
      <c r="X48" s="212" t="s">
        <v>4400</v>
      </c>
      <c r="Y48" s="2926"/>
    </row>
    <row r="49" spans="1:25" ht="105.6">
      <c r="A49" s="2890"/>
      <c r="B49" s="2890"/>
      <c r="C49" s="2890"/>
      <c r="D49" s="3263"/>
      <c r="E49" s="501" t="s">
        <v>4401</v>
      </c>
      <c r="F49" s="501"/>
      <c r="G49" s="2251"/>
      <c r="H49" s="2252"/>
      <c r="I49" s="2251" t="s">
        <v>4402</v>
      </c>
      <c r="J49" s="2251" t="s">
        <v>220</v>
      </c>
      <c r="K49" s="507">
        <v>1</v>
      </c>
      <c r="L49" s="506">
        <v>0.3</v>
      </c>
      <c r="M49" s="616">
        <v>0</v>
      </c>
      <c r="N49" s="2253">
        <v>0.03</v>
      </c>
      <c r="O49" s="3238"/>
      <c r="P49" s="507">
        <v>130104060</v>
      </c>
      <c r="Q49" s="507">
        <v>130104060</v>
      </c>
      <c r="R49" s="507">
        <v>0</v>
      </c>
      <c r="S49" s="507">
        <v>0</v>
      </c>
      <c r="T49" s="2254">
        <f t="shared" si="6"/>
        <v>0</v>
      </c>
      <c r="U49" s="2254">
        <f t="shared" si="6"/>
        <v>0</v>
      </c>
      <c r="V49" s="218">
        <v>45315</v>
      </c>
      <c r="W49" s="218">
        <v>45657</v>
      </c>
      <c r="X49" s="2255" t="s">
        <v>4403</v>
      </c>
      <c r="Y49" s="2935"/>
    </row>
    <row r="51" spans="1:25">
      <c r="A51" s="48"/>
      <c r="B51" s="46" t="s">
        <v>50</v>
      </c>
      <c r="C51" s="517">
        <f>COUNTIF(C11:C49,"pr")</f>
        <v>11</v>
      </c>
      <c r="D51" s="46"/>
      <c r="E51" s="46" t="s">
        <v>126</v>
      </c>
      <c r="F51" s="46"/>
      <c r="G51" s="48">
        <f>COUNTIF(O11:O49,"na")</f>
        <v>0</v>
      </c>
      <c r="H51" s="46"/>
      <c r="I51" s="46"/>
      <c r="J51" s="48"/>
      <c r="K51" s="49"/>
      <c r="L51" s="49"/>
      <c r="M51" s="46"/>
      <c r="N51" s="2256" t="s">
        <v>127</v>
      </c>
      <c r="O51" s="1897">
        <f>AVERAGE(O11:O49)</f>
        <v>9.1909090909090899E-2</v>
      </c>
      <c r="P51" s="1898">
        <f>P11+P26+P32+P37+P40+P43+P46+P22+P28+P18+P14</f>
        <v>40338974050</v>
      </c>
      <c r="Q51" s="1898">
        <f>Q11+Q26+Q32+Q37+Q40+Q43+Q46+Q22+Q28+Q18+Q14</f>
        <v>40338974050</v>
      </c>
      <c r="R51" s="1898">
        <f>R11+R26+R32+R37+R40+R43+R46+R22+R28+R18+R14</f>
        <v>31127193993</v>
      </c>
      <c r="S51" s="1898">
        <f>S11+S26+S32+S37+S40+S43+S46+S22+S28+S18+S14</f>
        <v>1248366012</v>
      </c>
      <c r="T51" s="1903">
        <f>IF(Q51=0,0,R51/Q51)</f>
        <v>0.77164069553226533</v>
      </c>
      <c r="U51" s="1903">
        <f>IF(R51=0,0,S51/R51)</f>
        <v>4.0105317950623408E-2</v>
      </c>
      <c r="V51" s="46"/>
      <c r="W51" s="46"/>
    </row>
    <row r="52" spans="1:25">
      <c r="A52" s="48"/>
      <c r="B52" s="46"/>
      <c r="C52" s="48"/>
      <c r="D52" s="46"/>
      <c r="E52" s="46"/>
      <c r="F52" s="46"/>
      <c r="G52" s="46"/>
      <c r="H52" s="46"/>
      <c r="I52" s="46"/>
      <c r="J52" s="48"/>
      <c r="K52" s="49"/>
      <c r="L52" s="49"/>
      <c r="M52" s="3262" t="s">
        <v>133</v>
      </c>
      <c r="N52" s="3262"/>
      <c r="O52" s="48">
        <f>COUNTIF(O11:O49,0)</f>
        <v>1</v>
      </c>
      <c r="P52" s="1898">
        <v>40338974050</v>
      </c>
      <c r="Q52" s="1898">
        <v>40338974050</v>
      </c>
      <c r="R52" s="1898">
        <v>31127193993</v>
      </c>
      <c r="S52" s="1898">
        <v>1248366012</v>
      </c>
      <c r="T52" s="2257"/>
      <c r="U52" s="2257"/>
      <c r="V52" s="46"/>
      <c r="W52" s="46"/>
    </row>
  </sheetData>
  <mergeCells count="101">
    <mergeCell ref="A1:X1"/>
    <mergeCell ref="A2:Y2"/>
    <mergeCell ref="A3:B3"/>
    <mergeCell ref="W5:W6"/>
    <mergeCell ref="L5:L6"/>
    <mergeCell ref="O5:O6"/>
    <mergeCell ref="X5:X6"/>
    <mergeCell ref="Q5:Q6"/>
    <mergeCell ref="S3:U3"/>
    <mergeCell ref="M5:M6"/>
    <mergeCell ref="T5:T6"/>
    <mergeCell ref="C3:R3"/>
    <mergeCell ref="P5:P6"/>
    <mergeCell ref="I5:I6"/>
    <mergeCell ref="G5:G6"/>
    <mergeCell ref="H5:H6"/>
    <mergeCell ref="V3:W3"/>
    <mergeCell ref="K5:K6"/>
    <mergeCell ref="Y5:Y6"/>
    <mergeCell ref="S5:S6"/>
    <mergeCell ref="R5:R6"/>
    <mergeCell ref="A4:Y4"/>
    <mergeCell ref="A5:A6"/>
    <mergeCell ref="B5:B6"/>
    <mergeCell ref="V5:V6"/>
    <mergeCell ref="J5:J6"/>
    <mergeCell ref="U5:U6"/>
    <mergeCell ref="N5:N6"/>
    <mergeCell ref="D5:D6"/>
    <mergeCell ref="E5:E6"/>
    <mergeCell ref="F5:F6"/>
    <mergeCell ref="C5:C6"/>
    <mergeCell ref="Y11:Y12"/>
    <mergeCell ref="A14:A16"/>
    <mergeCell ref="B14:B16"/>
    <mergeCell ref="C14:C16"/>
    <mergeCell ref="D14:D16"/>
    <mergeCell ref="O14:O16"/>
    <mergeCell ref="G15:G16"/>
    <mergeCell ref="H15:H16"/>
    <mergeCell ref="Y15:Y16"/>
    <mergeCell ref="A11:A12"/>
    <mergeCell ref="B11:B12"/>
    <mergeCell ref="C11:C12"/>
    <mergeCell ref="D11:D12"/>
    <mergeCell ref="O11:O12"/>
    <mergeCell ref="Y18:Y19"/>
    <mergeCell ref="A22:A23"/>
    <mergeCell ref="B22:B23"/>
    <mergeCell ref="C22:C23"/>
    <mergeCell ref="D22:D23"/>
    <mergeCell ref="O22:O23"/>
    <mergeCell ref="Y22:Y23"/>
    <mergeCell ref="A18:A19"/>
    <mergeCell ref="B18:B20"/>
    <mergeCell ref="C18:C20"/>
    <mergeCell ref="D18:D20"/>
    <mergeCell ref="O18:O20"/>
    <mergeCell ref="Y26:Y27"/>
    <mergeCell ref="A28:A30"/>
    <mergeCell ref="B28:B30"/>
    <mergeCell ref="C28:C30"/>
    <mergeCell ref="D28:D30"/>
    <mergeCell ref="O28:O30"/>
    <mergeCell ref="Y29:Y30"/>
    <mergeCell ref="A26:A27"/>
    <mergeCell ref="B26:B27"/>
    <mergeCell ref="C26:C27"/>
    <mergeCell ref="D26:D27"/>
    <mergeCell ref="O26:O27"/>
    <mergeCell ref="Y32:Y34"/>
    <mergeCell ref="A37:A39"/>
    <mergeCell ref="B37:B39"/>
    <mergeCell ref="C37:C39"/>
    <mergeCell ref="D37:D39"/>
    <mergeCell ref="O37:O39"/>
    <mergeCell ref="Y37:Y39"/>
    <mergeCell ref="A32:A34"/>
    <mergeCell ref="B32:B34"/>
    <mergeCell ref="C32:C34"/>
    <mergeCell ref="D32:D34"/>
    <mergeCell ref="O32:O34"/>
    <mergeCell ref="Y47:Y49"/>
    <mergeCell ref="M52:N52"/>
    <mergeCell ref="A46:A49"/>
    <mergeCell ref="B46:B49"/>
    <mergeCell ref="C46:C49"/>
    <mergeCell ref="D46:D49"/>
    <mergeCell ref="O46:O49"/>
    <mergeCell ref="Y40:Y41"/>
    <mergeCell ref="A43:A44"/>
    <mergeCell ref="B43:B44"/>
    <mergeCell ref="C43:C44"/>
    <mergeCell ref="D43:D44"/>
    <mergeCell ref="O43:O44"/>
    <mergeCell ref="Y43:Y44"/>
    <mergeCell ref="A40:A41"/>
    <mergeCell ref="B40:B41"/>
    <mergeCell ref="C40:C41"/>
    <mergeCell ref="D40:D41"/>
    <mergeCell ref="O40:O41"/>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Y153"/>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72</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0.1" customHeight="1">
      <c r="A5" s="3279" t="s">
        <v>88</v>
      </c>
      <c r="B5" s="3279" t="s">
        <v>4</v>
      </c>
      <c r="C5" s="3279" t="s">
        <v>3</v>
      </c>
      <c r="D5" s="3279" t="s">
        <v>108</v>
      </c>
      <c r="E5" s="3279" t="s">
        <v>2</v>
      </c>
      <c r="F5" s="3279" t="s">
        <v>89</v>
      </c>
      <c r="G5" s="3024" t="s">
        <v>106</v>
      </c>
      <c r="H5" s="3281" t="s">
        <v>107</v>
      </c>
      <c r="I5" s="3279" t="s">
        <v>8</v>
      </c>
      <c r="J5" s="3279" t="s">
        <v>9</v>
      </c>
      <c r="K5" s="3279" t="s">
        <v>10</v>
      </c>
      <c r="L5" s="3279" t="s">
        <v>11</v>
      </c>
      <c r="M5" s="3275" t="s">
        <v>100</v>
      </c>
      <c r="N5" s="3283" t="s">
        <v>12</v>
      </c>
      <c r="O5" s="3275" t="s">
        <v>86</v>
      </c>
      <c r="P5" s="3277" t="s">
        <v>1</v>
      </c>
      <c r="Q5" s="3275" t="s">
        <v>13</v>
      </c>
      <c r="R5" s="3275" t="s">
        <v>14</v>
      </c>
      <c r="S5" s="3275" t="s">
        <v>16</v>
      </c>
      <c r="T5" s="3275" t="s">
        <v>15</v>
      </c>
      <c r="U5" s="3275" t="s">
        <v>103</v>
      </c>
      <c r="V5" s="3277" t="s">
        <v>6</v>
      </c>
      <c r="W5" s="3277" t="s">
        <v>7</v>
      </c>
      <c r="X5" s="3275" t="s">
        <v>0</v>
      </c>
      <c r="Y5" s="3275" t="s">
        <v>90</v>
      </c>
    </row>
    <row r="6" spans="1:25" ht="49.5" customHeight="1">
      <c r="A6" s="3280"/>
      <c r="B6" s="3280"/>
      <c r="C6" s="3280"/>
      <c r="D6" s="3280"/>
      <c r="E6" s="3280"/>
      <c r="F6" s="3280"/>
      <c r="G6" s="3025"/>
      <c r="H6" s="3282"/>
      <c r="I6" s="3280"/>
      <c r="J6" s="3280"/>
      <c r="K6" s="3280"/>
      <c r="L6" s="3280"/>
      <c r="M6" s="3276"/>
      <c r="N6" s="3284"/>
      <c r="O6" s="3276"/>
      <c r="P6" s="3278"/>
      <c r="Q6" s="3276"/>
      <c r="R6" s="3276"/>
      <c r="S6" s="3276"/>
      <c r="T6" s="3276"/>
      <c r="U6" s="3276"/>
      <c r="V6" s="3278"/>
      <c r="W6" s="3278"/>
      <c r="X6" s="3276"/>
      <c r="Y6" s="3276"/>
    </row>
    <row r="7" spans="1:25" ht="15.6">
      <c r="A7" s="1825"/>
      <c r="B7" s="2348">
        <v>52</v>
      </c>
      <c r="C7" s="1825" t="s">
        <v>114</v>
      </c>
      <c r="D7" s="2349" t="s">
        <v>2704</v>
      </c>
      <c r="E7" s="2350"/>
      <c r="F7" s="2348"/>
      <c r="G7" s="2351"/>
      <c r="H7" s="2348"/>
      <c r="I7" s="2218"/>
      <c r="J7" s="2348"/>
      <c r="K7" s="2352"/>
      <c r="L7" s="2353"/>
      <c r="M7" s="2354"/>
      <c r="N7" s="2355"/>
      <c r="O7" s="2349"/>
      <c r="P7" s="2356"/>
      <c r="Q7" s="2354"/>
      <c r="R7" s="2354"/>
      <c r="S7" s="2354"/>
      <c r="T7" s="2354"/>
      <c r="U7" s="2354"/>
      <c r="V7" s="2354"/>
      <c r="W7" s="2354"/>
      <c r="X7" s="2354"/>
      <c r="Y7" s="2354"/>
    </row>
    <row r="8" spans="1:25" ht="15.6">
      <c r="A8" s="2263"/>
      <c r="B8" s="2221">
        <v>5201</v>
      </c>
      <c r="C8" s="2263" t="s">
        <v>115</v>
      </c>
      <c r="D8" s="2264" t="s">
        <v>1358</v>
      </c>
      <c r="E8" s="2265"/>
      <c r="F8" s="2221"/>
      <c r="G8" s="2266"/>
      <c r="H8" s="2221"/>
      <c r="I8" s="2267"/>
      <c r="J8" s="2221"/>
      <c r="K8" s="2268"/>
      <c r="L8" s="2269"/>
      <c r="M8" s="212"/>
      <c r="N8" s="2270"/>
      <c r="O8" s="2264"/>
      <c r="P8" s="2271"/>
      <c r="Q8" s="212"/>
      <c r="R8" s="212"/>
      <c r="S8" s="212"/>
      <c r="T8" s="212"/>
      <c r="U8" s="212"/>
      <c r="V8" s="212"/>
      <c r="W8" s="212"/>
      <c r="X8" s="212"/>
      <c r="Y8" s="212"/>
    </row>
    <row r="9" spans="1:25">
      <c r="A9" s="214"/>
      <c r="B9" s="381">
        <v>5201001</v>
      </c>
      <c r="C9" s="214" t="s">
        <v>116</v>
      </c>
      <c r="D9" s="2272" t="s">
        <v>1359</v>
      </c>
      <c r="E9" s="2273"/>
      <c r="F9" s="381"/>
      <c r="G9" s="2266"/>
      <c r="H9" s="381"/>
      <c r="I9" s="2229"/>
      <c r="J9" s="381"/>
      <c r="K9" s="2274"/>
      <c r="L9" s="2275"/>
      <c r="M9" s="212"/>
      <c r="N9" s="2270"/>
      <c r="O9" s="2272"/>
      <c r="P9" s="1823"/>
      <c r="Q9" s="212"/>
      <c r="R9" s="212"/>
      <c r="S9" s="212"/>
      <c r="T9" s="212"/>
      <c r="U9" s="212"/>
      <c r="V9" s="212"/>
      <c r="W9" s="212"/>
      <c r="X9" s="212"/>
      <c r="Y9" s="212"/>
    </row>
    <row r="10" spans="1:25">
      <c r="A10" s="222"/>
      <c r="B10" s="493">
        <v>52010010001</v>
      </c>
      <c r="C10" s="222" t="s">
        <v>117</v>
      </c>
      <c r="D10" s="811" t="s">
        <v>4404</v>
      </c>
      <c r="E10" s="2276"/>
      <c r="F10" s="2277"/>
      <c r="G10" s="2278"/>
      <c r="H10" s="2277"/>
      <c r="I10" s="2227"/>
      <c r="J10" s="493"/>
      <c r="K10" s="2279"/>
      <c r="L10" s="401"/>
      <c r="M10" s="212"/>
      <c r="N10" s="2270"/>
      <c r="O10" s="811"/>
      <c r="P10" s="2280"/>
      <c r="Q10" s="212"/>
      <c r="R10" s="212"/>
      <c r="S10" s="212"/>
      <c r="T10" s="212"/>
      <c r="U10" s="212"/>
      <c r="V10" s="212"/>
      <c r="W10" s="212"/>
      <c r="X10" s="212"/>
      <c r="Y10" s="212"/>
    </row>
    <row r="11" spans="1:25">
      <c r="A11" s="2928">
        <v>4164</v>
      </c>
      <c r="B11" s="3269"/>
      <c r="C11" s="3269" t="s">
        <v>502</v>
      </c>
      <c r="D11" s="2927" t="s">
        <v>4405</v>
      </c>
      <c r="E11" s="2281" t="s">
        <v>4406</v>
      </c>
      <c r="F11" s="2246"/>
      <c r="G11" s="2278"/>
      <c r="H11" s="2246"/>
      <c r="I11" s="1821"/>
      <c r="J11" s="1821"/>
      <c r="K11" s="2282">
        <f>SUM(K13)</f>
        <v>250</v>
      </c>
      <c r="L11" s="2283">
        <f>L12+L13+L14</f>
        <v>1</v>
      </c>
      <c r="M11" s="2284"/>
      <c r="N11" s="1873">
        <f>N12+N13+N14</f>
        <v>0</v>
      </c>
      <c r="O11" s="3274">
        <f>IF(Q11&gt;0, N11,"na")</f>
        <v>0</v>
      </c>
      <c r="P11" s="2286">
        <f>SUM(P12:P14)</f>
        <v>142748600</v>
      </c>
      <c r="Q11" s="2286">
        <f t="shared" ref="Q11:S11" si="0">SUM(Q12:Q14)</f>
        <v>142748600</v>
      </c>
      <c r="R11" s="2286">
        <f t="shared" si="0"/>
        <v>41182000</v>
      </c>
      <c r="S11" s="2286">
        <f t="shared" si="0"/>
        <v>2579000</v>
      </c>
      <c r="T11" s="2287">
        <f>IF(Q11=0,0,R11/Q11)</f>
        <v>0.28849319713118027</v>
      </c>
      <c r="U11" s="2287">
        <f t="shared" ref="U11" si="1">IF(R11=0,0,S11/R11)</f>
        <v>6.2624447574182895E-2</v>
      </c>
      <c r="V11" s="212"/>
      <c r="W11" s="212"/>
      <c r="X11" s="212"/>
      <c r="Y11" s="212"/>
    </row>
    <row r="12" spans="1:25" ht="66">
      <c r="A12" s="2928"/>
      <c r="B12" s="3269"/>
      <c r="C12" s="3269"/>
      <c r="D12" s="2927"/>
      <c r="E12" s="2281" t="s">
        <v>4407</v>
      </c>
      <c r="F12" s="2246"/>
      <c r="G12" s="2278"/>
      <c r="H12" s="2246"/>
      <c r="I12" s="2232" t="s">
        <v>4408</v>
      </c>
      <c r="J12" s="1920" t="s">
        <v>4409</v>
      </c>
      <c r="K12" s="1849">
        <v>1</v>
      </c>
      <c r="L12" s="2288">
        <v>0.25</v>
      </c>
      <c r="M12" s="1849">
        <v>0</v>
      </c>
      <c r="N12" s="2364">
        <v>0</v>
      </c>
      <c r="O12" s="3274"/>
      <c r="P12" s="2289">
        <v>35175840</v>
      </c>
      <c r="Q12" s="2289">
        <v>35175840</v>
      </c>
      <c r="R12" s="2289">
        <v>15693000</v>
      </c>
      <c r="S12" s="1849">
        <v>0</v>
      </c>
      <c r="T12" s="2287">
        <f>IF(Q12=0,0,R12/Q12)</f>
        <v>0.44613007109425107</v>
      </c>
      <c r="U12" s="2287">
        <f>IF(R12=0,0,S12/R12)</f>
        <v>0</v>
      </c>
      <c r="V12" s="2290">
        <v>45308</v>
      </c>
      <c r="W12" s="2290">
        <v>45657</v>
      </c>
      <c r="X12" s="212" t="s">
        <v>4410</v>
      </c>
      <c r="Y12" s="212" t="s">
        <v>98</v>
      </c>
    </row>
    <row r="13" spans="1:25" ht="79.2">
      <c r="A13" s="2928"/>
      <c r="B13" s="3269"/>
      <c r="C13" s="3269"/>
      <c r="D13" s="2927"/>
      <c r="E13" s="2281" t="s">
        <v>4411</v>
      </c>
      <c r="F13" s="1821"/>
      <c r="G13" s="212" t="s">
        <v>4404</v>
      </c>
      <c r="H13" s="1821"/>
      <c r="I13" s="1920" t="s">
        <v>4412</v>
      </c>
      <c r="J13" s="2291" t="s">
        <v>120</v>
      </c>
      <c r="K13" s="1849">
        <v>250</v>
      </c>
      <c r="L13" s="2288">
        <v>0.28000000000000003</v>
      </c>
      <c r="M13" s="1849">
        <v>0</v>
      </c>
      <c r="N13" s="2364">
        <v>0</v>
      </c>
      <c r="O13" s="3274"/>
      <c r="P13" s="2289">
        <v>40525760</v>
      </c>
      <c r="Q13" s="2289">
        <v>40525760</v>
      </c>
      <c r="R13" s="2289">
        <v>7737000</v>
      </c>
      <c r="S13" s="2289">
        <v>2579000</v>
      </c>
      <c r="T13" s="2287">
        <f t="shared" ref="T13:U76" si="2">IF(Q13=0,0,R13/Q13)</f>
        <v>0.1909156052841452</v>
      </c>
      <c r="U13" s="2287">
        <f t="shared" si="2"/>
        <v>0.33333333333333331</v>
      </c>
      <c r="V13" s="2290">
        <v>45308</v>
      </c>
      <c r="W13" s="2290">
        <v>45657</v>
      </c>
      <c r="X13" s="212" t="s">
        <v>4413</v>
      </c>
      <c r="Y13" s="212" t="s">
        <v>98</v>
      </c>
    </row>
    <row r="14" spans="1:25" ht="39.6">
      <c r="A14" s="2928"/>
      <c r="B14" s="3269"/>
      <c r="C14" s="3269"/>
      <c r="D14" s="2927"/>
      <c r="E14" s="2281" t="s">
        <v>4414</v>
      </c>
      <c r="F14" s="1821"/>
      <c r="G14" s="1821"/>
      <c r="H14" s="1821"/>
      <c r="I14" s="1920" t="s">
        <v>4415</v>
      </c>
      <c r="J14" s="1920" t="s">
        <v>2271</v>
      </c>
      <c r="K14" s="1849">
        <v>2</v>
      </c>
      <c r="L14" s="2288">
        <v>0.47</v>
      </c>
      <c r="M14" s="1849">
        <v>0</v>
      </c>
      <c r="N14" s="2364">
        <v>0</v>
      </c>
      <c r="O14" s="3274"/>
      <c r="P14" s="2289">
        <v>67047000</v>
      </c>
      <c r="Q14" s="2289">
        <v>67047000</v>
      </c>
      <c r="R14" s="2289">
        <v>17752000</v>
      </c>
      <c r="S14" s="1849">
        <v>0</v>
      </c>
      <c r="T14" s="2287">
        <f t="shared" si="2"/>
        <v>0.26476949005921219</v>
      </c>
      <c r="U14" s="2287">
        <f t="shared" si="2"/>
        <v>0</v>
      </c>
      <c r="V14" s="2290">
        <v>45308</v>
      </c>
      <c r="W14" s="2290">
        <v>45657</v>
      </c>
      <c r="X14" s="212" t="s">
        <v>4416</v>
      </c>
      <c r="Y14" s="212" t="s">
        <v>98</v>
      </c>
    </row>
    <row r="15" spans="1:25" ht="41.4">
      <c r="A15" s="222"/>
      <c r="B15" s="493">
        <v>52010010002</v>
      </c>
      <c r="C15" s="493" t="s">
        <v>117</v>
      </c>
      <c r="D15" s="217" t="s">
        <v>4417</v>
      </c>
      <c r="E15" s="2281"/>
      <c r="F15" s="493"/>
      <c r="G15" s="2232"/>
      <c r="H15" s="493"/>
      <c r="I15" s="1920"/>
      <c r="J15" s="1920"/>
      <c r="K15" s="493"/>
      <c r="L15" s="2227"/>
      <c r="M15" s="212"/>
      <c r="N15" s="1873"/>
      <c r="O15" s="2285"/>
      <c r="P15" s="493"/>
      <c r="Q15" s="212"/>
      <c r="R15" s="212"/>
      <c r="S15" s="212"/>
      <c r="T15" s="2287"/>
      <c r="U15" s="2287"/>
      <c r="V15" s="212"/>
      <c r="W15" s="212"/>
      <c r="X15" s="212"/>
      <c r="Y15" s="212"/>
    </row>
    <row r="16" spans="1:25">
      <c r="A16" s="2928">
        <v>4164</v>
      </c>
      <c r="B16" s="3269"/>
      <c r="C16" s="3269" t="s">
        <v>502</v>
      </c>
      <c r="D16" s="2927" t="s">
        <v>4418</v>
      </c>
      <c r="E16" s="2281" t="s">
        <v>4419</v>
      </c>
      <c r="F16" s="1821"/>
      <c r="G16" s="2232"/>
      <c r="H16" s="1821"/>
      <c r="I16" s="1920"/>
      <c r="J16" s="1920"/>
      <c r="K16" s="2291">
        <f>+K18</f>
        <v>1000</v>
      </c>
      <c r="L16" s="2283">
        <f>L17+L18</f>
        <v>1</v>
      </c>
      <c r="M16" s="2284"/>
      <c r="N16" s="1873">
        <f>N17+N18</f>
        <v>0.112</v>
      </c>
      <c r="O16" s="3274">
        <f>IF(Q16&gt;0, N16,"na")</f>
        <v>0.112</v>
      </c>
      <c r="P16" s="2286">
        <f>SUM(P17:P18)</f>
        <v>222152866</v>
      </c>
      <c r="Q16" s="2286">
        <f t="shared" ref="Q16:S16" si="3">SUM(Q17:Q18)</f>
        <v>222152866</v>
      </c>
      <c r="R16" s="2286">
        <f t="shared" si="3"/>
        <v>35334000</v>
      </c>
      <c r="S16" s="2286">
        <f t="shared" si="3"/>
        <v>2579000</v>
      </c>
      <c r="T16" s="2287">
        <f>IF(Q16=0,0,R16/Q16)</f>
        <v>0.15905264080635359</v>
      </c>
      <c r="U16" s="2287">
        <f>IF(R14=0,0,S14/R14)</f>
        <v>0</v>
      </c>
      <c r="V16" s="212"/>
      <c r="W16" s="212"/>
      <c r="X16" s="212"/>
      <c r="Y16" s="212"/>
    </row>
    <row r="17" spans="1:25" ht="66">
      <c r="A17" s="2928"/>
      <c r="B17" s="3269"/>
      <c r="C17" s="3269"/>
      <c r="D17" s="2927"/>
      <c r="E17" s="2281" t="s">
        <v>4420</v>
      </c>
      <c r="F17" s="1821"/>
      <c r="G17" s="2232"/>
      <c r="H17" s="1821"/>
      <c r="I17" s="1920" t="s">
        <v>4421</v>
      </c>
      <c r="J17" s="1920" t="s">
        <v>136</v>
      </c>
      <c r="K17" s="1849">
        <v>1</v>
      </c>
      <c r="L17" s="2288">
        <v>0.35</v>
      </c>
      <c r="M17" s="2105"/>
      <c r="N17" s="1869">
        <v>0</v>
      </c>
      <c r="O17" s="3274"/>
      <c r="P17" s="2289">
        <v>76020320</v>
      </c>
      <c r="Q17" s="2289">
        <v>76020320</v>
      </c>
      <c r="R17" s="2289">
        <v>12427000</v>
      </c>
      <c r="S17" s="1849">
        <v>0</v>
      </c>
      <c r="T17" s="2287">
        <f t="shared" si="2"/>
        <v>0.16346945132564555</v>
      </c>
      <c r="U17" s="2287">
        <f t="shared" si="2"/>
        <v>0</v>
      </c>
      <c r="V17" s="2290">
        <v>45307</v>
      </c>
      <c r="W17" s="2290">
        <v>45657</v>
      </c>
      <c r="X17" s="212" t="s">
        <v>4422</v>
      </c>
      <c r="Y17" s="212" t="s">
        <v>98</v>
      </c>
    </row>
    <row r="18" spans="1:25" ht="158.4">
      <c r="A18" s="2928"/>
      <c r="B18" s="3269"/>
      <c r="C18" s="3269"/>
      <c r="D18" s="2927"/>
      <c r="E18" s="2281" t="s">
        <v>4423</v>
      </c>
      <c r="F18" s="1821"/>
      <c r="G18" s="213" t="s">
        <v>4417</v>
      </c>
      <c r="H18" s="1821"/>
      <c r="I18" s="1920" t="s">
        <v>4424</v>
      </c>
      <c r="J18" s="1920" t="s">
        <v>120</v>
      </c>
      <c r="K18" s="1849">
        <v>1000</v>
      </c>
      <c r="L18" s="2288">
        <v>0.65</v>
      </c>
      <c r="M18" s="1849">
        <v>112</v>
      </c>
      <c r="N18" s="1869">
        <v>0.112</v>
      </c>
      <c r="O18" s="3274"/>
      <c r="P18" s="2289">
        <v>146132546</v>
      </c>
      <c r="Q18" s="2289">
        <v>146132546</v>
      </c>
      <c r="R18" s="2289">
        <v>22907000</v>
      </c>
      <c r="S18" s="2289">
        <v>2579000</v>
      </c>
      <c r="T18" s="2287">
        <f t="shared" si="2"/>
        <v>0.1567549503996187</v>
      </c>
      <c r="U18" s="2287">
        <f t="shared" si="2"/>
        <v>0.11258567250185533</v>
      </c>
      <c r="V18" s="2290">
        <v>45307</v>
      </c>
      <c r="W18" s="2290">
        <v>45657</v>
      </c>
      <c r="X18" s="212" t="s">
        <v>4425</v>
      </c>
      <c r="Y18" s="212" t="s">
        <v>98</v>
      </c>
    </row>
    <row r="19" spans="1:25" ht="41.4">
      <c r="A19" s="223"/>
      <c r="B19" s="222">
        <v>52010010003</v>
      </c>
      <c r="C19" s="222" t="s">
        <v>117</v>
      </c>
      <c r="D19" s="2292" t="s">
        <v>4426</v>
      </c>
      <c r="E19" s="2281"/>
      <c r="F19" s="222"/>
      <c r="G19" s="2293"/>
      <c r="H19" s="493"/>
      <c r="I19" s="212"/>
      <c r="J19" s="549"/>
      <c r="K19" s="246"/>
      <c r="L19" s="554"/>
      <c r="M19" s="212"/>
      <c r="N19" s="1873"/>
      <c r="O19" s="2285"/>
      <c r="P19" s="2280"/>
      <c r="Q19" s="212"/>
      <c r="R19" s="212"/>
      <c r="S19" s="212"/>
      <c r="T19" s="2287"/>
      <c r="U19" s="2287"/>
      <c r="V19" s="212"/>
      <c r="W19" s="212"/>
      <c r="X19" s="212"/>
      <c r="Y19" s="212"/>
    </row>
    <row r="20" spans="1:25">
      <c r="A20" s="2928">
        <v>4164</v>
      </c>
      <c r="B20" s="2928"/>
      <c r="C20" s="2928" t="s">
        <v>502</v>
      </c>
      <c r="D20" s="2927" t="s">
        <v>4427</v>
      </c>
      <c r="E20" s="2281" t="s">
        <v>4428</v>
      </c>
      <c r="F20" s="1821"/>
      <c r="G20" s="2293"/>
      <c r="H20" s="1821"/>
      <c r="I20" s="212"/>
      <c r="J20" s="549"/>
      <c r="K20" s="2294">
        <f>+K23</f>
        <v>1000</v>
      </c>
      <c r="L20" s="2283">
        <f>L21+L22+L23+L24+L25</f>
        <v>1</v>
      </c>
      <c r="M20" s="2284"/>
      <c r="N20" s="1873">
        <f>N21+N22+N23+N24+N25</f>
        <v>4.7500000000000001E-2</v>
      </c>
      <c r="O20" s="3274">
        <f>IF(Q20&gt;0, N20,"na")</f>
        <v>4.7500000000000001E-2</v>
      </c>
      <c r="P20" s="2286">
        <f>SUM(P21:P25)</f>
        <v>438016893</v>
      </c>
      <c r="Q20" s="2286">
        <f t="shared" ref="Q20:S20" si="4">SUM(Q21:Q25)</f>
        <v>438016893</v>
      </c>
      <c r="R20" s="2286">
        <f t="shared" si="4"/>
        <v>57127000</v>
      </c>
      <c r="S20" s="2286">
        <f t="shared" si="4"/>
        <v>11657000</v>
      </c>
      <c r="T20" s="2287">
        <f t="shared" si="2"/>
        <v>0.13042191046270904</v>
      </c>
      <c r="U20" s="2287">
        <f t="shared" si="2"/>
        <v>0.20405412501969297</v>
      </c>
      <c r="V20" s="212"/>
      <c r="W20" s="212"/>
      <c r="X20" s="212"/>
      <c r="Y20" s="212"/>
    </row>
    <row r="21" spans="1:25" ht="79.2">
      <c r="A21" s="2928"/>
      <c r="B21" s="2928"/>
      <c r="C21" s="2928"/>
      <c r="D21" s="2927"/>
      <c r="E21" s="464" t="s">
        <v>4429</v>
      </c>
      <c r="F21" s="2295"/>
      <c r="G21" s="2105"/>
      <c r="H21" s="2295"/>
      <c r="I21" s="464" t="s">
        <v>4430</v>
      </c>
      <c r="J21" s="464" t="s">
        <v>2612</v>
      </c>
      <c r="K21" s="1849">
        <v>4</v>
      </c>
      <c r="L21" s="2288">
        <v>0.19</v>
      </c>
      <c r="M21" s="1849">
        <v>1</v>
      </c>
      <c r="N21" s="1869">
        <v>4.7500000000000001E-2</v>
      </c>
      <c r="O21" s="3274"/>
      <c r="P21" s="2289">
        <v>89581210</v>
      </c>
      <c r="Q21" s="2289">
        <v>89581210</v>
      </c>
      <c r="R21" s="2289">
        <v>22076000</v>
      </c>
      <c r="S21" s="2289">
        <v>6499000</v>
      </c>
      <c r="T21" s="2287">
        <f t="shared" si="2"/>
        <v>0.24643560853888891</v>
      </c>
      <c r="U21" s="2287">
        <f t="shared" si="2"/>
        <v>0.29439210001811922</v>
      </c>
      <c r="V21" s="2290">
        <v>45309</v>
      </c>
      <c r="W21" s="2290">
        <v>45657</v>
      </c>
      <c r="X21" s="212" t="s">
        <v>4431</v>
      </c>
      <c r="Y21" s="212" t="s">
        <v>98</v>
      </c>
    </row>
    <row r="22" spans="1:25" ht="39.6">
      <c r="A22" s="2928"/>
      <c r="B22" s="2928"/>
      <c r="C22" s="2928"/>
      <c r="D22" s="2927"/>
      <c r="E22" s="464" t="s">
        <v>4432</v>
      </c>
      <c r="F22" s="2295"/>
      <c r="G22" s="2105"/>
      <c r="H22" s="2295"/>
      <c r="I22" s="464" t="s">
        <v>4433</v>
      </c>
      <c r="J22" s="464" t="s">
        <v>3839</v>
      </c>
      <c r="K22" s="1849">
        <v>1</v>
      </c>
      <c r="L22" s="2288">
        <v>0.16</v>
      </c>
      <c r="M22" s="1849">
        <v>0</v>
      </c>
      <c r="N22" s="1869">
        <v>0</v>
      </c>
      <c r="O22" s="3274"/>
      <c r="P22" s="2289">
        <v>47452508</v>
      </c>
      <c r="Q22" s="2289">
        <v>47452508</v>
      </c>
      <c r="R22" s="2289">
        <v>16852000</v>
      </c>
      <c r="S22" s="2289">
        <v>2579000</v>
      </c>
      <c r="T22" s="2287">
        <f t="shared" si="2"/>
        <v>0.35513402157795326</v>
      </c>
      <c r="U22" s="2287">
        <f t="shared" si="2"/>
        <v>0.15303821504865892</v>
      </c>
      <c r="V22" s="2290">
        <v>45309</v>
      </c>
      <c r="W22" s="2290">
        <v>45657</v>
      </c>
      <c r="X22" s="212" t="s">
        <v>4434</v>
      </c>
      <c r="Y22" s="212" t="s">
        <v>98</v>
      </c>
    </row>
    <row r="23" spans="1:25" ht="92.4">
      <c r="A23" s="2928"/>
      <c r="B23" s="2928"/>
      <c r="C23" s="2928"/>
      <c r="D23" s="2927"/>
      <c r="E23" s="464" t="s">
        <v>4435</v>
      </c>
      <c r="F23" s="2295"/>
      <c r="G23" s="464" t="s">
        <v>4436</v>
      </c>
      <c r="H23" s="1844"/>
      <c r="I23" s="464" t="s">
        <v>4437</v>
      </c>
      <c r="J23" s="464" t="s">
        <v>120</v>
      </c>
      <c r="K23" s="1849">
        <v>1000</v>
      </c>
      <c r="L23" s="2288">
        <v>0.13</v>
      </c>
      <c r="M23" s="1849">
        <v>0</v>
      </c>
      <c r="N23" s="1869">
        <v>0</v>
      </c>
      <c r="O23" s="3274"/>
      <c r="P23" s="2289">
        <v>69597585</v>
      </c>
      <c r="Q23" s="2289">
        <v>69597585</v>
      </c>
      <c r="R23" s="1849">
        <v>0</v>
      </c>
      <c r="S23" s="1849">
        <v>0</v>
      </c>
      <c r="T23" s="2287">
        <f t="shared" si="2"/>
        <v>0</v>
      </c>
      <c r="U23" s="2287">
        <f t="shared" si="2"/>
        <v>0</v>
      </c>
      <c r="V23" s="2290"/>
      <c r="W23" s="2290"/>
      <c r="X23" s="2245"/>
      <c r="Y23" s="212" t="s">
        <v>98</v>
      </c>
    </row>
    <row r="24" spans="1:25" ht="66">
      <c r="A24" s="2928"/>
      <c r="B24" s="2928"/>
      <c r="C24" s="2928"/>
      <c r="D24" s="2927"/>
      <c r="E24" s="464" t="s">
        <v>4438</v>
      </c>
      <c r="F24" s="2295"/>
      <c r="G24" s="2105"/>
      <c r="H24" s="2295"/>
      <c r="I24" s="464" t="s">
        <v>4439</v>
      </c>
      <c r="J24" s="464" t="s">
        <v>4440</v>
      </c>
      <c r="K24" s="1849">
        <v>1</v>
      </c>
      <c r="L24" s="2288">
        <v>0.4</v>
      </c>
      <c r="M24" s="1849">
        <v>0</v>
      </c>
      <c r="N24" s="1869">
        <v>0</v>
      </c>
      <c r="O24" s="3274"/>
      <c r="P24" s="2289">
        <v>198094400</v>
      </c>
      <c r="Q24" s="2289">
        <v>198094400</v>
      </c>
      <c r="R24" s="2289">
        <v>18199000</v>
      </c>
      <c r="S24" s="2289">
        <v>2579000</v>
      </c>
      <c r="T24" s="2287">
        <f t="shared" si="2"/>
        <v>9.1870340605287176E-2</v>
      </c>
      <c r="U24" s="2287">
        <f t="shared" si="2"/>
        <v>0.14171108302653992</v>
      </c>
      <c r="V24" s="2290">
        <v>45309</v>
      </c>
      <c r="W24" s="2290">
        <v>45657</v>
      </c>
      <c r="X24" s="212" t="s">
        <v>4441</v>
      </c>
      <c r="Y24" s="212" t="s">
        <v>98</v>
      </c>
    </row>
    <row r="25" spans="1:25" ht="39.6">
      <c r="A25" s="2928"/>
      <c r="B25" s="2928"/>
      <c r="C25" s="2928"/>
      <c r="D25" s="2927"/>
      <c r="E25" s="464" t="s">
        <v>4442</v>
      </c>
      <c r="F25" s="2295"/>
      <c r="G25" s="2105"/>
      <c r="H25" s="2295"/>
      <c r="I25" s="464" t="s">
        <v>4443</v>
      </c>
      <c r="J25" s="464" t="s">
        <v>2573</v>
      </c>
      <c r="K25" s="1849">
        <v>2</v>
      </c>
      <c r="L25" s="2288">
        <v>0.12</v>
      </c>
      <c r="M25" s="1849">
        <v>0</v>
      </c>
      <c r="N25" s="1869">
        <v>0</v>
      </c>
      <c r="O25" s="3274"/>
      <c r="P25" s="2289">
        <v>33291190</v>
      </c>
      <c r="Q25" s="2289">
        <v>33291190</v>
      </c>
      <c r="R25" s="1849">
        <v>0</v>
      </c>
      <c r="S25" s="1849">
        <v>0</v>
      </c>
      <c r="T25" s="2287">
        <f t="shared" si="2"/>
        <v>0</v>
      </c>
      <c r="U25" s="2287">
        <f t="shared" si="2"/>
        <v>0</v>
      </c>
      <c r="V25" s="2290"/>
      <c r="W25" s="2290"/>
      <c r="X25" s="212"/>
      <c r="Y25" s="212" t="s">
        <v>98</v>
      </c>
    </row>
    <row r="26" spans="1:25" ht="27.6">
      <c r="A26" s="2227"/>
      <c r="B26" s="222">
        <v>52010010004</v>
      </c>
      <c r="C26" s="222" t="s">
        <v>117</v>
      </c>
      <c r="D26" s="2296" t="s">
        <v>4444</v>
      </c>
      <c r="E26" s="2281"/>
      <c r="F26" s="222"/>
      <c r="G26" s="2293"/>
      <c r="H26" s="493"/>
      <c r="I26" s="212"/>
      <c r="J26" s="549"/>
      <c r="K26" s="2227"/>
      <c r="L26" s="2227"/>
      <c r="M26" s="212"/>
      <c r="N26" s="1873"/>
      <c r="O26" s="2285"/>
      <c r="P26" s="2105"/>
      <c r="Q26" s="2105"/>
      <c r="R26" s="2105"/>
      <c r="S26" s="2105"/>
      <c r="T26" s="2287"/>
      <c r="U26" s="2287"/>
      <c r="V26" s="212"/>
      <c r="W26" s="212"/>
      <c r="X26" s="212"/>
      <c r="Y26" s="212"/>
    </row>
    <row r="27" spans="1:25">
      <c r="A27" s="2928">
        <v>4164</v>
      </c>
      <c r="B27" s="2928"/>
      <c r="C27" s="2928" t="s">
        <v>502</v>
      </c>
      <c r="D27" s="2927" t="s">
        <v>4445</v>
      </c>
      <c r="E27" s="2281" t="s">
        <v>4446</v>
      </c>
      <c r="F27" s="1821"/>
      <c r="G27" s="2293"/>
      <c r="H27" s="1821"/>
      <c r="I27" s="212"/>
      <c r="J27" s="549"/>
      <c r="K27" s="2294">
        <f>+K29</f>
        <v>1</v>
      </c>
      <c r="L27" s="2283">
        <f>L28+L29+L30</f>
        <v>1</v>
      </c>
      <c r="M27" s="2284"/>
      <c r="N27" s="1873">
        <f t="shared" ref="N27" si="5">N28+N29+N30</f>
        <v>0.1633</v>
      </c>
      <c r="O27" s="3274">
        <f>IF(Q27&gt;0, N27,"na")</f>
        <v>0.1633</v>
      </c>
      <c r="P27" s="2286">
        <f>SUM(P28:P30)</f>
        <v>945600000</v>
      </c>
      <c r="Q27" s="2286">
        <f t="shared" ref="Q27:S27" si="6">SUM(Q28:Q30)</f>
        <v>945600000</v>
      </c>
      <c r="R27" s="2286">
        <f t="shared" si="6"/>
        <v>166077500</v>
      </c>
      <c r="S27" s="2286">
        <f t="shared" si="6"/>
        <v>46785000</v>
      </c>
      <c r="T27" s="2287">
        <f>IF(Q27=0,0,R27/Q27)</f>
        <v>0.1756318739424704</v>
      </c>
      <c r="U27" s="2287">
        <f>IF(R27=0,0,S27/R27)</f>
        <v>0.28170583010943684</v>
      </c>
      <c r="V27" s="2290"/>
      <c r="W27" s="2290"/>
      <c r="X27" s="212"/>
      <c r="Y27" s="212"/>
    </row>
    <row r="28" spans="1:25" ht="184.8">
      <c r="A28" s="2928"/>
      <c r="B28" s="2928"/>
      <c r="C28" s="2928"/>
      <c r="D28" s="2927"/>
      <c r="E28" s="464" t="s">
        <v>4447</v>
      </c>
      <c r="F28" s="2295"/>
      <c r="G28" s="464" t="s">
        <v>4448</v>
      </c>
      <c r="H28" s="1844"/>
      <c r="I28" s="464" t="s">
        <v>4449</v>
      </c>
      <c r="J28" s="464" t="s">
        <v>3839</v>
      </c>
      <c r="K28" s="1849">
        <v>72</v>
      </c>
      <c r="L28" s="2288">
        <v>0.6</v>
      </c>
      <c r="M28" s="1849">
        <v>16</v>
      </c>
      <c r="N28" s="1869">
        <v>0.1333</v>
      </c>
      <c r="O28" s="3274"/>
      <c r="P28" s="2289">
        <v>737830080</v>
      </c>
      <c r="Q28" s="2289">
        <v>737830080</v>
      </c>
      <c r="R28" s="2289">
        <v>166077500</v>
      </c>
      <c r="S28" s="2289">
        <v>46785000</v>
      </c>
      <c r="T28" s="2287">
        <f t="shared" si="2"/>
        <v>0.22508908826270677</v>
      </c>
      <c r="U28" s="2287">
        <f t="shared" si="2"/>
        <v>0.28170583010943684</v>
      </c>
      <c r="V28" s="2290">
        <v>45305</v>
      </c>
      <c r="W28" s="2290">
        <v>45657</v>
      </c>
      <c r="X28" s="2245" t="s">
        <v>4450</v>
      </c>
      <c r="Y28" s="212" t="s">
        <v>98</v>
      </c>
    </row>
    <row r="29" spans="1:25" ht="52.8">
      <c r="A29" s="2928"/>
      <c r="B29" s="2928"/>
      <c r="C29" s="2928"/>
      <c r="D29" s="2927"/>
      <c r="E29" s="464" t="s">
        <v>4451</v>
      </c>
      <c r="F29" s="2295"/>
      <c r="G29" s="2105"/>
      <c r="H29" s="2295"/>
      <c r="I29" s="464" t="s">
        <v>4452</v>
      </c>
      <c r="J29" s="464" t="s">
        <v>2612</v>
      </c>
      <c r="K29" s="1849">
        <v>1</v>
      </c>
      <c r="L29" s="2288">
        <v>0.2</v>
      </c>
      <c r="M29" s="1849">
        <v>0</v>
      </c>
      <c r="N29" s="1869">
        <v>0.02</v>
      </c>
      <c r="O29" s="3274"/>
      <c r="P29" s="2289">
        <v>67901760</v>
      </c>
      <c r="Q29" s="2289">
        <v>67901760</v>
      </c>
      <c r="R29" s="1849">
        <v>0</v>
      </c>
      <c r="S29" s="1849">
        <v>0</v>
      </c>
      <c r="T29" s="2287">
        <f t="shared" si="2"/>
        <v>0</v>
      </c>
      <c r="U29" s="2287">
        <f t="shared" si="2"/>
        <v>0</v>
      </c>
      <c r="V29" s="2290"/>
      <c r="W29" s="2290"/>
      <c r="X29" s="2245" t="s">
        <v>4453</v>
      </c>
      <c r="Y29" s="212" t="s">
        <v>98</v>
      </c>
    </row>
    <row r="30" spans="1:25" ht="66">
      <c r="A30" s="2928"/>
      <c r="B30" s="2928"/>
      <c r="C30" s="2928"/>
      <c r="D30" s="2927"/>
      <c r="E30" s="464" t="s">
        <v>4454</v>
      </c>
      <c r="F30" s="2295"/>
      <c r="G30" s="2105"/>
      <c r="H30" s="2295"/>
      <c r="I30" s="464" t="s">
        <v>4455</v>
      </c>
      <c r="J30" s="464" t="s">
        <v>2271</v>
      </c>
      <c r="K30" s="1849">
        <v>1</v>
      </c>
      <c r="L30" s="2288">
        <v>0.2</v>
      </c>
      <c r="M30" s="1849">
        <v>0</v>
      </c>
      <c r="N30" s="1869">
        <v>0.01</v>
      </c>
      <c r="O30" s="3274"/>
      <c r="P30" s="2289">
        <v>139868160</v>
      </c>
      <c r="Q30" s="2289">
        <v>139868160</v>
      </c>
      <c r="R30" s="1849">
        <v>0</v>
      </c>
      <c r="S30" s="1849">
        <v>0</v>
      </c>
      <c r="T30" s="2287">
        <f t="shared" si="2"/>
        <v>0</v>
      </c>
      <c r="U30" s="2287">
        <f t="shared" si="2"/>
        <v>0</v>
      </c>
      <c r="V30" s="2290"/>
      <c r="W30" s="2290"/>
      <c r="X30" s="2245"/>
      <c r="Y30" s="212" t="s">
        <v>98</v>
      </c>
    </row>
    <row r="31" spans="1:25" ht="27.6">
      <c r="A31" s="223"/>
      <c r="B31" s="222">
        <v>52010010005</v>
      </c>
      <c r="C31" s="222" t="s">
        <v>117</v>
      </c>
      <c r="D31" s="217" t="s">
        <v>4456</v>
      </c>
      <c r="E31" s="2281"/>
      <c r="F31" s="222"/>
      <c r="G31" s="2266"/>
      <c r="H31" s="493"/>
      <c r="I31" s="212"/>
      <c r="J31" s="549"/>
      <c r="K31" s="246"/>
      <c r="L31" s="554"/>
      <c r="M31" s="212"/>
      <c r="N31" s="1873"/>
      <c r="O31" s="2285"/>
      <c r="P31" s="2280"/>
      <c r="Q31" s="212"/>
      <c r="R31" s="212"/>
      <c r="S31" s="212"/>
      <c r="T31" s="2287"/>
      <c r="U31" s="2287"/>
      <c r="V31" s="2290"/>
      <c r="W31" s="2290"/>
      <c r="X31" s="212"/>
      <c r="Y31" s="212"/>
    </row>
    <row r="32" spans="1:25">
      <c r="A32" s="2928">
        <v>4164</v>
      </c>
      <c r="B32" s="2928"/>
      <c r="C32" s="2928" t="s">
        <v>502</v>
      </c>
      <c r="D32" s="2926" t="s">
        <v>4457</v>
      </c>
      <c r="E32" s="2281" t="s">
        <v>4458</v>
      </c>
      <c r="F32" s="222"/>
      <c r="G32" s="2266"/>
      <c r="H32" s="1821"/>
      <c r="I32" s="212"/>
      <c r="J32" s="549"/>
      <c r="K32" s="807">
        <f>SUM(K34)</f>
        <v>300</v>
      </c>
      <c r="L32" s="2283">
        <f>L33+L34+L35+L36+L37</f>
        <v>1</v>
      </c>
      <c r="M32" s="2284"/>
      <c r="N32" s="1873">
        <f>N33+N34+N35+N36+N37</f>
        <v>0.15629999999999999</v>
      </c>
      <c r="O32" s="3274">
        <f>IF(Q32&gt;0, N32,"na")</f>
        <v>0.15629999999999999</v>
      </c>
      <c r="P32" s="2286">
        <f>SUM(P33:P37)</f>
        <v>229652160</v>
      </c>
      <c r="Q32" s="2286">
        <v>229652160</v>
      </c>
      <c r="R32" s="2286">
        <v>34044000</v>
      </c>
      <c r="S32" s="2286">
        <v>17022000</v>
      </c>
      <c r="T32" s="2287">
        <f t="shared" si="2"/>
        <v>0.14824158414186045</v>
      </c>
      <c r="U32" s="2287">
        <f t="shared" si="2"/>
        <v>0.5</v>
      </c>
      <c r="V32" s="2290"/>
      <c r="W32" s="2290"/>
      <c r="X32" s="212"/>
      <c r="Y32" s="212"/>
    </row>
    <row r="33" spans="1:25" ht="52.8">
      <c r="A33" s="2928"/>
      <c r="B33" s="2928"/>
      <c r="C33" s="2928"/>
      <c r="D33" s="2926"/>
      <c r="E33" s="464" t="s">
        <v>4459</v>
      </c>
      <c r="F33" s="2295"/>
      <c r="G33" s="2105"/>
      <c r="H33" s="2295"/>
      <c r="I33" s="464" t="s">
        <v>4460</v>
      </c>
      <c r="J33" s="464" t="s">
        <v>3839</v>
      </c>
      <c r="K33" s="1849">
        <v>8</v>
      </c>
      <c r="L33" s="2288">
        <v>0.15</v>
      </c>
      <c r="M33" s="1849">
        <v>3</v>
      </c>
      <c r="N33" s="1869">
        <v>5.6300000000000003E-2</v>
      </c>
      <c r="O33" s="3274"/>
      <c r="P33" s="2289">
        <v>35175840</v>
      </c>
      <c r="Q33" s="2289">
        <v>35175840</v>
      </c>
      <c r="R33" s="1849">
        <v>0</v>
      </c>
      <c r="S33" s="1849">
        <v>0</v>
      </c>
      <c r="T33" s="2287">
        <f t="shared" si="2"/>
        <v>0</v>
      </c>
      <c r="U33" s="2287">
        <f t="shared" si="2"/>
        <v>0</v>
      </c>
      <c r="V33" s="2290"/>
      <c r="W33" s="2290"/>
      <c r="X33" s="2245"/>
      <c r="Y33" s="212" t="s">
        <v>98</v>
      </c>
    </row>
    <row r="34" spans="1:25" ht="132">
      <c r="A34" s="2928"/>
      <c r="B34" s="2928"/>
      <c r="C34" s="2928"/>
      <c r="D34" s="2926"/>
      <c r="E34" s="464" t="s">
        <v>4461</v>
      </c>
      <c r="F34" s="2295"/>
      <c r="G34" s="464" t="s">
        <v>4462</v>
      </c>
      <c r="H34" s="1844"/>
      <c r="I34" s="464" t="s">
        <v>4463</v>
      </c>
      <c r="J34" s="464" t="s">
        <v>120</v>
      </c>
      <c r="K34" s="1849">
        <v>300</v>
      </c>
      <c r="L34" s="2288">
        <v>0.31</v>
      </c>
      <c r="M34" s="1849">
        <v>0</v>
      </c>
      <c r="N34" s="1869">
        <v>0</v>
      </c>
      <c r="O34" s="3274"/>
      <c r="P34" s="2289">
        <v>70351680</v>
      </c>
      <c r="Q34" s="2289">
        <v>70351680</v>
      </c>
      <c r="R34" s="2289">
        <v>20924000</v>
      </c>
      <c r="S34" s="2289">
        <v>10462000</v>
      </c>
      <c r="T34" s="2287">
        <f t="shared" si="2"/>
        <v>0.29742004739616734</v>
      </c>
      <c r="U34" s="2287">
        <f t="shared" si="2"/>
        <v>0.5</v>
      </c>
      <c r="V34" s="2290">
        <v>45309</v>
      </c>
      <c r="W34" s="2290">
        <v>45657</v>
      </c>
      <c r="X34" s="2245" t="s">
        <v>4464</v>
      </c>
      <c r="Y34" s="212" t="s">
        <v>98</v>
      </c>
    </row>
    <row r="35" spans="1:25" ht="79.2">
      <c r="A35" s="2928"/>
      <c r="B35" s="2928"/>
      <c r="C35" s="2928"/>
      <c r="D35" s="2926"/>
      <c r="E35" s="464" t="s">
        <v>4465</v>
      </c>
      <c r="F35" s="2295"/>
      <c r="G35" s="2105"/>
      <c r="H35" s="2295"/>
      <c r="I35" s="464" t="s">
        <v>4466</v>
      </c>
      <c r="J35" s="464" t="s">
        <v>2573</v>
      </c>
      <c r="K35" s="1849">
        <v>5</v>
      </c>
      <c r="L35" s="2288">
        <v>0.28000000000000003</v>
      </c>
      <c r="M35" s="1849">
        <v>0</v>
      </c>
      <c r="N35" s="1869">
        <v>0.1</v>
      </c>
      <c r="O35" s="3274"/>
      <c r="P35" s="2289">
        <v>65020320</v>
      </c>
      <c r="Q35" s="2289">
        <v>0</v>
      </c>
      <c r="R35" s="2289">
        <v>0</v>
      </c>
      <c r="S35" s="2289">
        <v>0</v>
      </c>
      <c r="T35" s="2287">
        <f t="shared" si="2"/>
        <v>0</v>
      </c>
      <c r="U35" s="2287">
        <f t="shared" si="2"/>
        <v>0</v>
      </c>
      <c r="V35" s="2290"/>
      <c r="W35" s="2290"/>
      <c r="X35" s="212"/>
      <c r="Y35" s="212" t="s">
        <v>98</v>
      </c>
    </row>
    <row r="36" spans="1:25" ht="66">
      <c r="A36" s="2928"/>
      <c r="B36" s="2928"/>
      <c r="C36" s="2928"/>
      <c r="D36" s="2926"/>
      <c r="E36" s="464" t="s">
        <v>4467</v>
      </c>
      <c r="F36" s="2295"/>
      <c r="G36" s="2105"/>
      <c r="H36" s="2295"/>
      <c r="I36" s="464" t="s">
        <v>4468</v>
      </c>
      <c r="J36" s="464" t="s">
        <v>4469</v>
      </c>
      <c r="K36" s="1849">
        <v>200</v>
      </c>
      <c r="L36" s="2288">
        <v>0.22</v>
      </c>
      <c r="M36" s="1849">
        <v>0</v>
      </c>
      <c r="N36" s="1869">
        <v>0</v>
      </c>
      <c r="O36" s="3274"/>
      <c r="P36" s="2289">
        <v>49740800</v>
      </c>
      <c r="Q36" s="2289">
        <v>49740800</v>
      </c>
      <c r="R36" s="2289">
        <v>13120000</v>
      </c>
      <c r="S36" s="2289">
        <v>6560000</v>
      </c>
      <c r="T36" s="2287">
        <f t="shared" si="2"/>
        <v>0.26376737004632012</v>
      </c>
      <c r="U36" s="2287">
        <f t="shared" si="2"/>
        <v>0.5</v>
      </c>
      <c r="V36" s="2290">
        <v>45309</v>
      </c>
      <c r="W36" s="2290">
        <v>45657</v>
      </c>
      <c r="X36" s="212" t="s">
        <v>4470</v>
      </c>
      <c r="Y36" s="212" t="s">
        <v>98</v>
      </c>
    </row>
    <row r="37" spans="1:25" ht="52.8">
      <c r="A37" s="2928"/>
      <c r="B37" s="2928"/>
      <c r="C37" s="2928"/>
      <c r="D37" s="2926"/>
      <c r="E37" s="464" t="s">
        <v>4471</v>
      </c>
      <c r="F37" s="2295"/>
      <c r="G37" s="2105"/>
      <c r="H37" s="2295"/>
      <c r="I37" s="464" t="s">
        <v>4472</v>
      </c>
      <c r="J37" s="464" t="s">
        <v>2393</v>
      </c>
      <c r="K37" s="1849">
        <v>7</v>
      </c>
      <c r="L37" s="2288">
        <v>0.04</v>
      </c>
      <c r="M37" s="1849">
        <v>0</v>
      </c>
      <c r="N37" s="1869">
        <v>0</v>
      </c>
      <c r="O37" s="3274"/>
      <c r="P37" s="2289">
        <v>9363520</v>
      </c>
      <c r="Q37" s="2289">
        <v>9363520</v>
      </c>
      <c r="R37" s="1849">
        <v>0</v>
      </c>
      <c r="S37" s="1849">
        <v>0</v>
      </c>
      <c r="T37" s="2287">
        <f t="shared" si="2"/>
        <v>0</v>
      </c>
      <c r="U37" s="2287">
        <f t="shared" si="2"/>
        <v>0</v>
      </c>
      <c r="V37" s="2290"/>
      <c r="W37" s="2290"/>
      <c r="X37" s="2245"/>
      <c r="Y37" s="212" t="s">
        <v>98</v>
      </c>
    </row>
    <row r="38" spans="1:25" ht="27.6">
      <c r="A38" s="223"/>
      <c r="B38" s="222">
        <v>52010010006</v>
      </c>
      <c r="C38" s="222" t="s">
        <v>117</v>
      </c>
      <c r="D38" s="217" t="s">
        <v>4473</v>
      </c>
      <c r="E38" s="2281"/>
      <c r="F38" s="222"/>
      <c r="G38" s="2266"/>
      <c r="H38" s="493"/>
      <c r="I38" s="212"/>
      <c r="J38" s="549"/>
      <c r="K38" s="246"/>
      <c r="L38" s="554"/>
      <c r="M38" s="212"/>
      <c r="N38" s="1873"/>
      <c r="O38" s="2285"/>
      <c r="P38" s="2280"/>
      <c r="Q38" s="212"/>
      <c r="R38" s="212"/>
      <c r="S38" s="212"/>
      <c r="T38" s="2287"/>
      <c r="U38" s="2287"/>
      <c r="V38" s="2290"/>
      <c r="W38" s="2290"/>
      <c r="X38" s="212"/>
      <c r="Y38" s="212"/>
    </row>
    <row r="39" spans="1:25">
      <c r="A39" s="2928">
        <v>4164</v>
      </c>
      <c r="B39" s="2928"/>
      <c r="C39" s="2928" t="s">
        <v>502</v>
      </c>
      <c r="D39" s="2927" t="s">
        <v>4474</v>
      </c>
      <c r="E39" s="2281" t="s">
        <v>4475</v>
      </c>
      <c r="F39" s="1821"/>
      <c r="G39" s="2266"/>
      <c r="H39" s="1821"/>
      <c r="I39" s="212"/>
      <c r="J39" s="549"/>
      <c r="K39" s="807">
        <f>+K40</f>
        <v>1</v>
      </c>
      <c r="L39" s="2283">
        <f>L40+L41+L42</f>
        <v>1</v>
      </c>
      <c r="M39" s="2284"/>
      <c r="N39" s="1873">
        <f t="shared" ref="N39" si="7">N40+N41+N42</f>
        <v>0.05</v>
      </c>
      <c r="O39" s="3274">
        <f>IF(Q39&gt;0, N39,"na")</f>
        <v>0.05</v>
      </c>
      <c r="P39" s="2286">
        <f>SUM(P40:P42)</f>
        <v>341397020</v>
      </c>
      <c r="Q39" s="2286">
        <f t="shared" ref="Q39:S39" si="8">SUM(Q40:Q42)</f>
        <v>341397020</v>
      </c>
      <c r="R39" s="2286">
        <f t="shared" si="8"/>
        <v>72517000</v>
      </c>
      <c r="S39" s="2286">
        <f t="shared" si="8"/>
        <v>12387000</v>
      </c>
      <c r="T39" s="2287">
        <f t="shared" si="2"/>
        <v>0.21241251607878708</v>
      </c>
      <c r="U39" s="2287">
        <f t="shared" si="2"/>
        <v>0.17081511921342582</v>
      </c>
      <c r="V39" s="2290"/>
      <c r="W39" s="2290"/>
      <c r="X39" s="212"/>
      <c r="Y39" s="212"/>
    </row>
    <row r="40" spans="1:25" ht="105.6">
      <c r="A40" s="2928"/>
      <c r="B40" s="2928"/>
      <c r="C40" s="2928"/>
      <c r="D40" s="2927"/>
      <c r="E40" s="464" t="s">
        <v>4476</v>
      </c>
      <c r="F40" s="2295"/>
      <c r="G40" s="464" t="s">
        <v>4473</v>
      </c>
      <c r="H40" s="1844"/>
      <c r="I40" s="464" t="s">
        <v>4477</v>
      </c>
      <c r="J40" s="464" t="s">
        <v>4478</v>
      </c>
      <c r="K40" s="1849">
        <v>1</v>
      </c>
      <c r="L40" s="2288">
        <v>0.5</v>
      </c>
      <c r="M40" s="1849">
        <v>0</v>
      </c>
      <c r="N40" s="1869">
        <v>0.01</v>
      </c>
      <c r="O40" s="3274"/>
      <c r="P40" s="2289">
        <v>280323020</v>
      </c>
      <c r="Q40" s="2289">
        <v>280323020</v>
      </c>
      <c r="R40" s="2289">
        <v>50327000</v>
      </c>
      <c r="S40" s="2289">
        <v>12387000</v>
      </c>
      <c r="T40" s="2287">
        <f t="shared" si="2"/>
        <v>0.17953216970907349</v>
      </c>
      <c r="U40" s="2287">
        <f t="shared" si="2"/>
        <v>0.24613030778707254</v>
      </c>
      <c r="V40" s="2290">
        <v>45308</v>
      </c>
      <c r="W40" s="2290">
        <v>45657</v>
      </c>
      <c r="X40" s="212" t="s">
        <v>4479</v>
      </c>
      <c r="Y40" s="212" t="s">
        <v>98</v>
      </c>
    </row>
    <row r="41" spans="1:25" ht="92.4">
      <c r="A41" s="2928"/>
      <c r="B41" s="2928"/>
      <c r="C41" s="2928"/>
      <c r="D41" s="2927"/>
      <c r="E41" s="464" t="s">
        <v>4480</v>
      </c>
      <c r="F41" s="2295"/>
      <c r="G41" s="2105"/>
      <c r="H41" s="2295"/>
      <c r="I41" s="464" t="s">
        <v>4481</v>
      </c>
      <c r="J41" s="464" t="s">
        <v>4482</v>
      </c>
      <c r="K41" s="1849">
        <v>1</v>
      </c>
      <c r="L41" s="2288">
        <v>0.3</v>
      </c>
      <c r="M41" s="1849">
        <v>0</v>
      </c>
      <c r="N41" s="1869">
        <v>0.02</v>
      </c>
      <c r="O41" s="3274"/>
      <c r="P41" s="2289">
        <v>50098080</v>
      </c>
      <c r="Q41" s="2289">
        <v>50098080</v>
      </c>
      <c r="R41" s="2289">
        <v>22190000</v>
      </c>
      <c r="S41" s="1849">
        <v>0</v>
      </c>
      <c r="T41" s="2287">
        <f t="shared" si="2"/>
        <v>0.44293114626348956</v>
      </c>
      <c r="U41" s="2287">
        <f t="shared" si="2"/>
        <v>0</v>
      </c>
      <c r="V41" s="2290">
        <v>45308</v>
      </c>
      <c r="W41" s="2290">
        <v>45657</v>
      </c>
      <c r="X41" s="212" t="s">
        <v>4483</v>
      </c>
      <c r="Y41" s="212" t="s">
        <v>98</v>
      </c>
    </row>
    <row r="42" spans="1:25" ht="52.8">
      <c r="A42" s="2928"/>
      <c r="B42" s="2928"/>
      <c r="C42" s="2928"/>
      <c r="D42" s="2927"/>
      <c r="E42" s="464" t="s">
        <v>4484</v>
      </c>
      <c r="F42" s="2295"/>
      <c r="G42" s="2105"/>
      <c r="H42" s="2295"/>
      <c r="I42" s="464" t="s">
        <v>4485</v>
      </c>
      <c r="J42" s="464" t="s">
        <v>3864</v>
      </c>
      <c r="K42" s="1849">
        <v>2</v>
      </c>
      <c r="L42" s="2288">
        <v>0.2</v>
      </c>
      <c r="M42" s="1849">
        <v>0</v>
      </c>
      <c r="N42" s="1869">
        <v>0.02</v>
      </c>
      <c r="O42" s="3274"/>
      <c r="P42" s="2289">
        <v>10975920</v>
      </c>
      <c r="Q42" s="2289">
        <v>10975920</v>
      </c>
      <c r="R42" s="1849">
        <v>0</v>
      </c>
      <c r="S42" s="1849">
        <v>0</v>
      </c>
      <c r="T42" s="2287">
        <f t="shared" si="2"/>
        <v>0</v>
      </c>
      <c r="U42" s="2287">
        <f t="shared" si="2"/>
        <v>0</v>
      </c>
      <c r="V42" s="2290"/>
      <c r="W42" s="2290"/>
      <c r="X42" s="212"/>
      <c r="Y42" s="212" t="s">
        <v>98</v>
      </c>
    </row>
    <row r="43" spans="1:25">
      <c r="A43" s="223"/>
      <c r="B43" s="222">
        <v>52010010007</v>
      </c>
      <c r="C43" s="222" t="s">
        <v>117</v>
      </c>
      <c r="D43" s="217" t="s">
        <v>4486</v>
      </c>
      <c r="E43" s="2281"/>
      <c r="F43" s="2297"/>
      <c r="G43" s="2298"/>
      <c r="H43" s="401"/>
      <c r="I43" s="212"/>
      <c r="J43" s="549"/>
      <c r="K43" s="246"/>
      <c r="L43" s="554"/>
      <c r="M43" s="212"/>
      <c r="N43" s="1873"/>
      <c r="O43" s="2285"/>
      <c r="P43" s="2280"/>
      <c r="Q43" s="212"/>
      <c r="R43" s="212"/>
      <c r="S43" s="212"/>
      <c r="T43" s="2287"/>
      <c r="U43" s="2287"/>
      <c r="V43" s="2290"/>
      <c r="W43" s="2290"/>
      <c r="X43" s="212"/>
      <c r="Y43" s="212"/>
    </row>
    <row r="44" spans="1:25">
      <c r="A44" s="2928">
        <v>4164</v>
      </c>
      <c r="B44" s="2928"/>
      <c r="C44" s="2928" t="s">
        <v>502</v>
      </c>
      <c r="D44" s="2927" t="s">
        <v>4487</v>
      </c>
      <c r="E44" s="2281" t="s">
        <v>4488</v>
      </c>
      <c r="F44" s="1821"/>
      <c r="G44" s="2293"/>
      <c r="H44" s="2299"/>
      <c r="I44" s="212"/>
      <c r="J44" s="549"/>
      <c r="K44" s="2300">
        <f>+K45</f>
        <v>24</v>
      </c>
      <c r="L44" s="2283">
        <f>L45+L46+L47</f>
        <v>1</v>
      </c>
      <c r="M44" s="2284"/>
      <c r="N44" s="1873">
        <f t="shared" ref="N44" si="9">N45+N46+N47</f>
        <v>0.33329999999999999</v>
      </c>
      <c r="O44" s="3274">
        <f>IF(Q44&gt;0, N44,"na")</f>
        <v>0.33329999999999999</v>
      </c>
      <c r="P44" s="2286">
        <f>SUM(P45:P46)</f>
        <v>428673786</v>
      </c>
      <c r="Q44" s="2286">
        <f t="shared" ref="Q44:S44" si="10">SUM(Q45:Q46)</f>
        <v>428673786</v>
      </c>
      <c r="R44" s="2286">
        <f t="shared" si="10"/>
        <v>94332000</v>
      </c>
      <c r="S44" s="2286">
        <f t="shared" si="10"/>
        <v>19616000</v>
      </c>
      <c r="T44" s="2287">
        <f t="shared" si="2"/>
        <v>0.22005544327826007</v>
      </c>
      <c r="U44" s="2287">
        <f t="shared" si="2"/>
        <v>0.20794640206928719</v>
      </c>
      <c r="V44" s="2290"/>
      <c r="W44" s="2290"/>
      <c r="X44" s="212"/>
      <c r="Y44" s="212"/>
    </row>
    <row r="45" spans="1:25" ht="277.2">
      <c r="A45" s="2928"/>
      <c r="B45" s="2928"/>
      <c r="C45" s="2928"/>
      <c r="D45" s="2927"/>
      <c r="E45" s="464" t="s">
        <v>4489</v>
      </c>
      <c r="F45" s="2295"/>
      <c r="G45" s="464" t="s">
        <v>4490</v>
      </c>
      <c r="H45" s="1844"/>
      <c r="I45" s="464" t="s">
        <v>4491</v>
      </c>
      <c r="J45" s="464" t="s">
        <v>3864</v>
      </c>
      <c r="K45" s="1849">
        <v>24</v>
      </c>
      <c r="L45" s="2288">
        <v>0.8</v>
      </c>
      <c r="M45" s="1849">
        <v>10</v>
      </c>
      <c r="N45" s="1869">
        <v>0.33329999999999999</v>
      </c>
      <c r="O45" s="3274"/>
      <c r="P45" s="2289">
        <v>264451504</v>
      </c>
      <c r="Q45" s="2289">
        <v>264451504</v>
      </c>
      <c r="R45" s="2289">
        <v>94332000</v>
      </c>
      <c r="S45" s="2289">
        <v>19616000</v>
      </c>
      <c r="T45" s="2287">
        <f t="shared" si="2"/>
        <v>0.35670812445067435</v>
      </c>
      <c r="U45" s="2287">
        <f t="shared" si="2"/>
        <v>0.20794640206928719</v>
      </c>
      <c r="V45" s="1851">
        <v>45296</v>
      </c>
      <c r="W45" s="1851">
        <v>45657</v>
      </c>
      <c r="X45" s="212" t="s">
        <v>4492</v>
      </c>
      <c r="Y45" s="212" t="s">
        <v>98</v>
      </c>
    </row>
    <row r="46" spans="1:25" ht="52.8">
      <c r="A46" s="2928"/>
      <c r="B46" s="2928"/>
      <c r="C46" s="2928"/>
      <c r="D46" s="2927"/>
      <c r="E46" s="464" t="s">
        <v>4493</v>
      </c>
      <c r="F46" s="2295"/>
      <c r="G46" s="2105"/>
      <c r="H46" s="2295"/>
      <c r="I46" s="464" t="s">
        <v>4494</v>
      </c>
      <c r="J46" s="464" t="s">
        <v>120</v>
      </c>
      <c r="K46" s="1849">
        <v>200</v>
      </c>
      <c r="L46" s="2288">
        <v>0.2</v>
      </c>
      <c r="M46" s="1849">
        <v>0</v>
      </c>
      <c r="N46" s="1869">
        <v>0</v>
      </c>
      <c r="O46" s="3274"/>
      <c r="P46" s="2289">
        <v>164222282</v>
      </c>
      <c r="Q46" s="2289">
        <v>164222282</v>
      </c>
      <c r="R46" s="1849">
        <v>0</v>
      </c>
      <c r="S46" s="1849">
        <v>0</v>
      </c>
      <c r="T46" s="2287">
        <f t="shared" si="2"/>
        <v>0</v>
      </c>
      <c r="U46" s="2287">
        <f t="shared" si="2"/>
        <v>0</v>
      </c>
      <c r="V46" s="1851"/>
      <c r="W46" s="1851"/>
      <c r="X46" s="212"/>
      <c r="Y46" s="212" t="s">
        <v>98</v>
      </c>
    </row>
    <row r="47" spans="1:25" ht="27.6">
      <c r="A47" s="223"/>
      <c r="B47" s="222">
        <v>52010010008</v>
      </c>
      <c r="C47" s="222" t="s">
        <v>117</v>
      </c>
      <c r="D47" s="2292" t="s">
        <v>4495</v>
      </c>
      <c r="E47" s="2281"/>
      <c r="F47" s="2301"/>
      <c r="G47" s="2293"/>
      <c r="H47" s="493"/>
      <c r="I47" s="212"/>
      <c r="J47" s="549"/>
      <c r="K47" s="246"/>
      <c r="L47" s="554"/>
      <c r="M47" s="212"/>
      <c r="N47" s="1873"/>
      <c r="O47" s="2285"/>
      <c r="P47" s="2280"/>
      <c r="Q47" s="212"/>
      <c r="R47" s="212"/>
      <c r="S47" s="212"/>
      <c r="T47" s="2287"/>
      <c r="U47" s="2287"/>
      <c r="V47" s="2290"/>
      <c r="W47" s="2290"/>
      <c r="X47" s="212"/>
      <c r="Y47" s="212"/>
    </row>
    <row r="48" spans="1:25">
      <c r="A48" s="2928">
        <v>4164</v>
      </c>
      <c r="B48" s="2928"/>
      <c r="C48" s="2928" t="s">
        <v>502</v>
      </c>
      <c r="D48" s="2927" t="s">
        <v>4496</v>
      </c>
      <c r="E48" s="2281" t="s">
        <v>4497</v>
      </c>
      <c r="F48" s="1821"/>
      <c r="G48" s="2266"/>
      <c r="H48" s="1821"/>
      <c r="I48" s="212"/>
      <c r="J48" s="549"/>
      <c r="K48" s="807">
        <f>SUM(K49)</f>
        <v>2</v>
      </c>
      <c r="L48" s="2283">
        <f>L49+L50</f>
        <v>1</v>
      </c>
      <c r="M48" s="2284"/>
      <c r="N48" s="1873">
        <f>N49+N50</f>
        <v>0</v>
      </c>
      <c r="O48" s="3274">
        <f>IF(Q48&gt;0, N48,"na")</f>
        <v>0</v>
      </c>
      <c r="P48" s="2286">
        <f>SUM(P49:P50)</f>
        <v>149474863</v>
      </c>
      <c r="Q48" s="2286">
        <f t="shared" ref="Q48:S48" si="11">SUM(Q49:Q50)</f>
        <v>149474863</v>
      </c>
      <c r="R48" s="2286">
        <f t="shared" si="11"/>
        <v>55717000</v>
      </c>
      <c r="S48" s="2286">
        <f t="shared" si="11"/>
        <v>12681000</v>
      </c>
      <c r="T48" s="2287">
        <f t="shared" si="2"/>
        <v>0.37275163784562226</v>
      </c>
      <c r="U48" s="2287">
        <f t="shared" si="2"/>
        <v>0.22759660426799719</v>
      </c>
      <c r="V48" s="2290"/>
      <c r="W48" s="2290"/>
      <c r="X48" s="212"/>
      <c r="Y48" s="212"/>
    </row>
    <row r="49" spans="1:25" ht="145.19999999999999">
      <c r="A49" s="2928"/>
      <c r="B49" s="2928"/>
      <c r="C49" s="2928"/>
      <c r="D49" s="2927"/>
      <c r="E49" s="464" t="s">
        <v>4498</v>
      </c>
      <c r="F49" s="2295"/>
      <c r="G49" s="464" t="s">
        <v>4499</v>
      </c>
      <c r="H49" s="1844"/>
      <c r="I49" s="464" t="s">
        <v>4500</v>
      </c>
      <c r="J49" s="464" t="s">
        <v>3933</v>
      </c>
      <c r="K49" s="1849">
        <v>2</v>
      </c>
      <c r="L49" s="2288">
        <v>0.85</v>
      </c>
      <c r="M49" s="1849">
        <v>0</v>
      </c>
      <c r="N49" s="1869">
        <v>0</v>
      </c>
      <c r="O49" s="3274"/>
      <c r="P49" s="2289">
        <v>127523023</v>
      </c>
      <c r="Q49" s="2289">
        <v>127523023</v>
      </c>
      <c r="R49" s="2289">
        <v>34793000</v>
      </c>
      <c r="S49" s="2289">
        <v>2219000</v>
      </c>
      <c r="T49" s="2287">
        <f t="shared" si="2"/>
        <v>0.27283700763586821</v>
      </c>
      <c r="U49" s="2287">
        <f t="shared" si="2"/>
        <v>6.377719656252695E-2</v>
      </c>
      <c r="V49" s="2290">
        <v>45307</v>
      </c>
      <c r="W49" s="2290">
        <v>45657</v>
      </c>
      <c r="X49" s="212" t="s">
        <v>4501</v>
      </c>
      <c r="Y49" s="212" t="s">
        <v>98</v>
      </c>
    </row>
    <row r="50" spans="1:25" ht="66">
      <c r="A50" s="2928"/>
      <c r="B50" s="2928"/>
      <c r="C50" s="2928"/>
      <c r="D50" s="2927"/>
      <c r="E50" s="464" t="s">
        <v>4502</v>
      </c>
      <c r="F50" s="2295"/>
      <c r="G50" s="2105"/>
      <c r="H50" s="2295"/>
      <c r="I50" s="464" t="s">
        <v>4503</v>
      </c>
      <c r="J50" s="464" t="s">
        <v>4504</v>
      </c>
      <c r="K50" s="1849">
        <v>7</v>
      </c>
      <c r="L50" s="2288">
        <v>0.15</v>
      </c>
      <c r="M50" s="1849">
        <v>0</v>
      </c>
      <c r="N50" s="1869">
        <v>0</v>
      </c>
      <c r="O50" s="3274"/>
      <c r="P50" s="2289">
        <v>21951840</v>
      </c>
      <c r="Q50" s="2289">
        <v>21951840</v>
      </c>
      <c r="R50" s="2289">
        <v>20924000</v>
      </c>
      <c r="S50" s="2289">
        <v>10462000</v>
      </c>
      <c r="T50" s="2287">
        <f t="shared" si="2"/>
        <v>0.95317750129374124</v>
      </c>
      <c r="U50" s="2287">
        <f t="shared" si="2"/>
        <v>0.5</v>
      </c>
      <c r="V50" s="2290">
        <v>45307</v>
      </c>
      <c r="W50" s="2290">
        <v>45657</v>
      </c>
      <c r="X50" s="212" t="s">
        <v>4505</v>
      </c>
      <c r="Y50" s="212" t="s">
        <v>98</v>
      </c>
    </row>
    <row r="51" spans="1:25" ht="27.6">
      <c r="A51" s="555"/>
      <c r="B51" s="222">
        <v>52010010009</v>
      </c>
      <c r="C51" s="222" t="s">
        <v>117</v>
      </c>
      <c r="D51" s="217" t="s">
        <v>4506</v>
      </c>
      <c r="E51" s="2281"/>
      <c r="F51" s="555"/>
      <c r="G51" s="2302"/>
      <c r="H51" s="1821"/>
      <c r="I51" s="212"/>
      <c r="J51" s="212"/>
      <c r="K51" s="549"/>
      <c r="L51" s="2291"/>
      <c r="M51" s="212"/>
      <c r="N51" s="1873"/>
      <c r="O51" s="2285"/>
      <c r="P51" s="2291"/>
      <c r="Q51" s="212"/>
      <c r="R51" s="212"/>
      <c r="S51" s="212"/>
      <c r="T51" s="2287"/>
      <c r="U51" s="2287"/>
      <c r="V51" s="2290"/>
      <c r="W51" s="2290"/>
      <c r="X51" s="212"/>
      <c r="Y51" s="212"/>
    </row>
    <row r="52" spans="1:25">
      <c r="A52" s="2926">
        <v>4164</v>
      </c>
      <c r="B52" s="2928"/>
      <c r="C52" s="2926" t="s">
        <v>502</v>
      </c>
      <c r="D52" s="2927" t="s">
        <v>4507</v>
      </c>
      <c r="E52" s="2281" t="s">
        <v>4508</v>
      </c>
      <c r="F52" s="555"/>
      <c r="G52" s="2302"/>
      <c r="H52" s="1821"/>
      <c r="I52" s="212"/>
      <c r="J52" s="212"/>
      <c r="K52" s="549">
        <f>+K54</f>
        <v>1</v>
      </c>
      <c r="L52" s="2283">
        <f>L53+L54+L55+L56</f>
        <v>1</v>
      </c>
      <c r="M52" s="2284"/>
      <c r="N52" s="1873">
        <f>N53+N54+N55+N56</f>
        <v>0</v>
      </c>
      <c r="O52" s="3274">
        <f>IF(Q52&gt;0, N52,"na")</f>
        <v>0</v>
      </c>
      <c r="P52" s="2286">
        <f>SUM(P53:P56)</f>
        <v>222061997</v>
      </c>
      <c r="Q52" s="2286">
        <f t="shared" ref="Q52:S52" si="12">SUM(Q53:Q56)</f>
        <v>222061997</v>
      </c>
      <c r="R52" s="2286">
        <f t="shared" si="12"/>
        <v>60935000</v>
      </c>
      <c r="S52" s="2286">
        <f t="shared" si="12"/>
        <v>30151000</v>
      </c>
      <c r="T52" s="2287">
        <f t="shared" si="2"/>
        <v>0.27440534996179466</v>
      </c>
      <c r="U52" s="2287">
        <f t="shared" si="2"/>
        <v>0.49480594075654388</v>
      </c>
      <c r="V52" s="2290"/>
      <c r="W52" s="2290"/>
      <c r="X52" s="212"/>
      <c r="Y52" s="212"/>
    </row>
    <row r="53" spans="1:25" ht="105.6">
      <c r="A53" s="2926"/>
      <c r="B53" s="2928"/>
      <c r="C53" s="2926"/>
      <c r="D53" s="2927"/>
      <c r="E53" s="464" t="s">
        <v>4509</v>
      </c>
      <c r="F53" s="2295"/>
      <c r="G53" s="2105"/>
      <c r="H53" s="2295"/>
      <c r="I53" s="464" t="s">
        <v>4510</v>
      </c>
      <c r="J53" s="464" t="s">
        <v>2612</v>
      </c>
      <c r="K53" s="1849">
        <v>8</v>
      </c>
      <c r="L53" s="2288">
        <v>0.45</v>
      </c>
      <c r="M53" s="1849">
        <v>0</v>
      </c>
      <c r="N53" s="1869">
        <v>0</v>
      </c>
      <c r="O53" s="3274"/>
      <c r="P53" s="2289">
        <v>98931200</v>
      </c>
      <c r="Q53" s="2289">
        <v>98931200</v>
      </c>
      <c r="R53" s="2289">
        <v>28916000</v>
      </c>
      <c r="S53" s="2289">
        <v>14458000</v>
      </c>
      <c r="T53" s="2287">
        <f t="shared" si="2"/>
        <v>0.29228393065079572</v>
      </c>
      <c r="U53" s="2287">
        <f t="shared" si="2"/>
        <v>0.5</v>
      </c>
      <c r="V53" s="2290">
        <v>45309</v>
      </c>
      <c r="W53" s="2290">
        <v>45657</v>
      </c>
      <c r="X53" s="212" t="s">
        <v>4511</v>
      </c>
      <c r="Y53" s="212" t="s">
        <v>98</v>
      </c>
    </row>
    <row r="54" spans="1:25" ht="105.6">
      <c r="A54" s="2926"/>
      <c r="B54" s="2928"/>
      <c r="C54" s="2926"/>
      <c r="D54" s="2927"/>
      <c r="E54" s="464" t="s">
        <v>4512</v>
      </c>
      <c r="F54" s="2295"/>
      <c r="G54" s="464" t="s">
        <v>4513</v>
      </c>
      <c r="H54" s="1844"/>
      <c r="I54" s="464" t="s">
        <v>4514</v>
      </c>
      <c r="J54" s="464" t="s">
        <v>124</v>
      </c>
      <c r="K54" s="1849">
        <v>1</v>
      </c>
      <c r="L54" s="2288">
        <v>0.17</v>
      </c>
      <c r="M54" s="1849">
        <v>0</v>
      </c>
      <c r="N54" s="1869">
        <v>0</v>
      </c>
      <c r="O54" s="3274"/>
      <c r="P54" s="2289">
        <v>38802000</v>
      </c>
      <c r="Q54" s="2289">
        <v>38802000</v>
      </c>
      <c r="R54" s="2289">
        <v>20924000</v>
      </c>
      <c r="S54" s="2289">
        <v>15693000</v>
      </c>
      <c r="T54" s="2287">
        <f t="shared" si="2"/>
        <v>0.53925055409514977</v>
      </c>
      <c r="U54" s="2287">
        <f t="shared" si="2"/>
        <v>0.75</v>
      </c>
      <c r="V54" s="2290">
        <v>45309</v>
      </c>
      <c r="W54" s="2290">
        <v>45657</v>
      </c>
      <c r="X54" s="2245" t="s">
        <v>4515</v>
      </c>
      <c r="Y54" s="212" t="s">
        <v>98</v>
      </c>
    </row>
    <row r="55" spans="1:25" ht="39.6">
      <c r="A55" s="2926"/>
      <c r="B55" s="2928"/>
      <c r="C55" s="2926"/>
      <c r="D55" s="2927"/>
      <c r="E55" s="464" t="s">
        <v>4516</v>
      </c>
      <c r="F55" s="2295"/>
      <c r="G55" s="2105"/>
      <c r="H55" s="2295"/>
      <c r="I55" s="464" t="s">
        <v>4517</v>
      </c>
      <c r="J55" s="464" t="s">
        <v>2573</v>
      </c>
      <c r="K55" s="1849">
        <v>3</v>
      </c>
      <c r="L55" s="2288">
        <v>0.16</v>
      </c>
      <c r="M55" s="1849">
        <v>0</v>
      </c>
      <c r="N55" s="1869">
        <v>0</v>
      </c>
      <c r="O55" s="3274"/>
      <c r="P55" s="2289">
        <v>35044480</v>
      </c>
      <c r="Q55" s="2289">
        <v>35044480</v>
      </c>
      <c r="R55" s="2289">
        <v>11095000</v>
      </c>
      <c r="S55" s="1849">
        <v>0</v>
      </c>
      <c r="T55" s="2287">
        <f t="shared" si="2"/>
        <v>0.31659764961557424</v>
      </c>
      <c r="U55" s="2287">
        <f t="shared" si="2"/>
        <v>0</v>
      </c>
      <c r="V55" s="2290">
        <v>45309</v>
      </c>
      <c r="W55" s="2290">
        <v>45657</v>
      </c>
      <c r="X55" s="212" t="s">
        <v>4518</v>
      </c>
      <c r="Y55" s="212" t="s">
        <v>98</v>
      </c>
    </row>
    <row r="56" spans="1:25" ht="26.4">
      <c r="A56" s="2926"/>
      <c r="B56" s="2928"/>
      <c r="C56" s="2926"/>
      <c r="D56" s="2927"/>
      <c r="E56" s="464" t="s">
        <v>4519</v>
      </c>
      <c r="F56" s="2295"/>
      <c r="G56" s="2105"/>
      <c r="H56" s="2295"/>
      <c r="I56" s="464" t="s">
        <v>4520</v>
      </c>
      <c r="J56" s="464" t="s">
        <v>3839</v>
      </c>
      <c r="K56" s="1849">
        <v>1</v>
      </c>
      <c r="L56" s="2288">
        <v>0.22</v>
      </c>
      <c r="M56" s="1849">
        <v>0</v>
      </c>
      <c r="N56" s="1869">
        <v>0</v>
      </c>
      <c r="O56" s="3274"/>
      <c r="P56" s="2289">
        <v>49284317</v>
      </c>
      <c r="Q56" s="2289">
        <v>49284317</v>
      </c>
      <c r="R56" s="1849">
        <v>0</v>
      </c>
      <c r="S56" s="1849">
        <v>0</v>
      </c>
      <c r="T56" s="2287">
        <f t="shared" si="2"/>
        <v>0</v>
      </c>
      <c r="U56" s="2287">
        <f t="shared" si="2"/>
        <v>0</v>
      </c>
      <c r="V56" s="2290"/>
      <c r="W56" s="2290"/>
      <c r="X56" s="2245"/>
      <c r="Y56" s="212" t="s">
        <v>98</v>
      </c>
    </row>
    <row r="57" spans="1:25" ht="27.6">
      <c r="A57" s="555"/>
      <c r="B57" s="222">
        <v>52010010010</v>
      </c>
      <c r="C57" s="222" t="s">
        <v>117</v>
      </c>
      <c r="D57" s="217" t="s">
        <v>4521</v>
      </c>
      <c r="E57" s="2281"/>
      <c r="F57" s="555"/>
      <c r="G57" s="2302"/>
      <c r="H57" s="1821"/>
      <c r="I57" s="212"/>
      <c r="J57" s="212"/>
      <c r="K57" s="549"/>
      <c r="L57" s="2291"/>
      <c r="M57" s="212"/>
      <c r="N57" s="1873"/>
      <c r="O57" s="2285"/>
      <c r="P57" s="2291"/>
      <c r="Q57" s="212"/>
      <c r="R57" s="212"/>
      <c r="S57" s="212"/>
      <c r="T57" s="2287"/>
      <c r="U57" s="2287"/>
      <c r="V57" s="2290"/>
      <c r="W57" s="2290"/>
      <c r="X57" s="212"/>
      <c r="Y57" s="212"/>
    </row>
    <row r="58" spans="1:25">
      <c r="A58" s="2926">
        <v>4164</v>
      </c>
      <c r="B58" s="2928"/>
      <c r="C58" s="2926" t="s">
        <v>502</v>
      </c>
      <c r="D58" s="2927" t="s">
        <v>4522</v>
      </c>
      <c r="E58" s="2281" t="s">
        <v>4523</v>
      </c>
      <c r="F58" s="555"/>
      <c r="G58" s="2302"/>
      <c r="H58" s="1821"/>
      <c r="I58" s="212"/>
      <c r="J58" s="212"/>
      <c r="K58" s="549">
        <f>+K60</f>
        <v>5</v>
      </c>
      <c r="L58" s="2283">
        <f>L59+L60+L61</f>
        <v>0.99999999999999989</v>
      </c>
      <c r="M58" s="2284"/>
      <c r="N58" s="1873">
        <f t="shared" ref="N58" si="13">N59+N60+N61</f>
        <v>0.14200000000000002</v>
      </c>
      <c r="O58" s="3274">
        <f>IF(Q58&gt;0, N58,"na")</f>
        <v>0.14200000000000002</v>
      </c>
      <c r="P58" s="2286">
        <f>SUM(P59:P61)</f>
        <v>469359240</v>
      </c>
      <c r="Q58" s="2286">
        <f t="shared" ref="Q58:S58" si="14">SUM(Q59:Q61)</f>
        <v>469359240</v>
      </c>
      <c r="R58" s="2286">
        <f t="shared" si="14"/>
        <v>102624000</v>
      </c>
      <c r="S58" s="2286">
        <f t="shared" si="14"/>
        <v>35382000</v>
      </c>
      <c r="T58" s="2287">
        <f t="shared" si="2"/>
        <v>0.21864702184194776</v>
      </c>
      <c r="U58" s="2287">
        <f t="shared" si="2"/>
        <v>0.34477315247895229</v>
      </c>
      <c r="V58" s="2290"/>
      <c r="W58" s="2290"/>
      <c r="X58" s="212"/>
      <c r="Y58" s="212"/>
    </row>
    <row r="59" spans="1:25" ht="79.2">
      <c r="A59" s="2926"/>
      <c r="B59" s="2928"/>
      <c r="C59" s="2926"/>
      <c r="D59" s="2927"/>
      <c r="E59" s="464" t="s">
        <v>4524</v>
      </c>
      <c r="F59" s="2295"/>
      <c r="G59" s="2105"/>
      <c r="H59" s="2295"/>
      <c r="I59" s="464" t="s">
        <v>4525</v>
      </c>
      <c r="J59" s="464" t="s">
        <v>120</v>
      </c>
      <c r="K59" s="1849">
        <v>100</v>
      </c>
      <c r="L59" s="2288">
        <v>0.35</v>
      </c>
      <c r="M59" s="1849">
        <v>24</v>
      </c>
      <c r="N59" s="1869">
        <v>8.4000000000000005E-2</v>
      </c>
      <c r="O59" s="3274"/>
      <c r="P59" s="2289">
        <v>261751680</v>
      </c>
      <c r="Q59" s="2289">
        <v>261751680</v>
      </c>
      <c r="R59" s="2289">
        <v>86931000</v>
      </c>
      <c r="S59" s="2289">
        <v>35382000</v>
      </c>
      <c r="T59" s="2287">
        <f t="shared" si="2"/>
        <v>0.33211248157031886</v>
      </c>
      <c r="U59" s="2287">
        <f t="shared" si="2"/>
        <v>0.40701245815646891</v>
      </c>
      <c r="V59" s="2290">
        <v>45308</v>
      </c>
      <c r="W59" s="2290">
        <v>45657</v>
      </c>
      <c r="X59" s="212" t="s">
        <v>4526</v>
      </c>
      <c r="Y59" s="212" t="s">
        <v>98</v>
      </c>
    </row>
    <row r="60" spans="1:25" ht="118.8">
      <c r="A60" s="2926"/>
      <c r="B60" s="2928"/>
      <c r="C60" s="2926"/>
      <c r="D60" s="2927"/>
      <c r="E60" s="464" t="s">
        <v>4527</v>
      </c>
      <c r="F60" s="2295"/>
      <c r="G60" s="464" t="s">
        <v>4528</v>
      </c>
      <c r="H60" s="1844"/>
      <c r="I60" s="464" t="s">
        <v>4529</v>
      </c>
      <c r="J60" s="464" t="s">
        <v>2612</v>
      </c>
      <c r="K60" s="1849">
        <v>5</v>
      </c>
      <c r="L60" s="2288">
        <v>0.28999999999999998</v>
      </c>
      <c r="M60" s="1849">
        <v>1</v>
      </c>
      <c r="N60" s="1869">
        <v>5.8000000000000003E-2</v>
      </c>
      <c r="O60" s="3274"/>
      <c r="P60" s="2289">
        <v>52436640</v>
      </c>
      <c r="Q60" s="2289">
        <v>52436640</v>
      </c>
      <c r="R60" s="2289">
        <v>15693000</v>
      </c>
      <c r="S60" s="1849">
        <v>0</v>
      </c>
      <c r="T60" s="2287">
        <f t="shared" si="2"/>
        <v>0.29927546845106778</v>
      </c>
      <c r="U60" s="2287">
        <f t="shared" si="2"/>
        <v>0</v>
      </c>
      <c r="V60" s="2290">
        <v>45308</v>
      </c>
      <c r="W60" s="2290">
        <v>45657</v>
      </c>
      <c r="X60" s="212" t="s">
        <v>4530</v>
      </c>
      <c r="Y60" s="212" t="s">
        <v>98</v>
      </c>
    </row>
    <row r="61" spans="1:25" ht="52.8">
      <c r="A61" s="2926"/>
      <c r="B61" s="2928"/>
      <c r="C61" s="2926"/>
      <c r="D61" s="2927"/>
      <c r="E61" s="464" t="s">
        <v>4531</v>
      </c>
      <c r="F61" s="2295"/>
      <c r="G61" s="2105"/>
      <c r="H61" s="2295"/>
      <c r="I61" s="464" t="s">
        <v>4532</v>
      </c>
      <c r="J61" s="464" t="s">
        <v>124</v>
      </c>
      <c r="K61" s="1849">
        <v>1</v>
      </c>
      <c r="L61" s="2288">
        <v>0.36</v>
      </c>
      <c r="M61" s="1849">
        <v>1</v>
      </c>
      <c r="N61" s="1869">
        <v>0</v>
      </c>
      <c r="O61" s="3274"/>
      <c r="P61" s="2289">
        <v>155170920</v>
      </c>
      <c r="Q61" s="2289">
        <v>155170920</v>
      </c>
      <c r="R61" s="1849">
        <v>0</v>
      </c>
      <c r="S61" s="1849">
        <v>0</v>
      </c>
      <c r="T61" s="2287">
        <f t="shared" si="2"/>
        <v>0</v>
      </c>
      <c r="U61" s="2287">
        <f t="shared" si="2"/>
        <v>0</v>
      </c>
      <c r="V61" s="2290"/>
      <c r="W61" s="2290"/>
      <c r="X61" s="212"/>
      <c r="Y61" s="212" t="s">
        <v>98</v>
      </c>
    </row>
    <row r="62" spans="1:25" ht="27.6">
      <c r="A62" s="224"/>
      <c r="B62" s="222">
        <v>52010010011</v>
      </c>
      <c r="C62" s="224" t="s">
        <v>117</v>
      </c>
      <c r="D62" s="217" t="s">
        <v>4533</v>
      </c>
      <c r="E62" s="2281"/>
      <c r="F62" s="222"/>
      <c r="G62" s="2302"/>
      <c r="H62" s="493"/>
      <c r="I62" s="212"/>
      <c r="J62" s="212"/>
      <c r="K62" s="223"/>
      <c r="L62" s="2303"/>
      <c r="M62" s="212"/>
      <c r="N62" s="1873"/>
      <c r="O62" s="2285"/>
      <c r="P62" s="2280"/>
      <c r="Q62" s="212"/>
      <c r="R62" s="212"/>
      <c r="S62" s="212"/>
      <c r="T62" s="2287"/>
      <c r="U62" s="2287"/>
      <c r="V62" s="2290"/>
      <c r="W62" s="2290"/>
      <c r="X62" s="212"/>
      <c r="Y62" s="212"/>
    </row>
    <row r="63" spans="1:25">
      <c r="A63" s="2926">
        <v>4164</v>
      </c>
      <c r="B63" s="2926"/>
      <c r="C63" s="2926" t="s">
        <v>502</v>
      </c>
      <c r="D63" s="2927" t="s">
        <v>4534</v>
      </c>
      <c r="E63" s="2281" t="s">
        <v>4535</v>
      </c>
      <c r="F63" s="555"/>
      <c r="G63" s="2304"/>
      <c r="H63" s="1821"/>
      <c r="I63" s="212"/>
      <c r="J63" s="212"/>
      <c r="K63" s="549">
        <f>+K65</f>
        <v>1</v>
      </c>
      <c r="L63" s="2283">
        <f>L64+L65+L70</f>
        <v>1</v>
      </c>
      <c r="M63" s="2284"/>
      <c r="N63" s="1873">
        <f>N64+N65</f>
        <v>1</v>
      </c>
      <c r="O63" s="3274">
        <f>IF(Q63&gt;0, N63,"na")</f>
        <v>1</v>
      </c>
      <c r="P63" s="2286">
        <f>SUM(P64:P65)</f>
        <v>333503308</v>
      </c>
      <c r="Q63" s="2286">
        <f t="shared" ref="Q63:S63" si="15">SUM(Q64:Q65)</f>
        <v>333503308</v>
      </c>
      <c r="R63" s="2286">
        <f t="shared" si="15"/>
        <v>76970000</v>
      </c>
      <c r="S63" s="2286">
        <f t="shared" si="15"/>
        <v>21662000</v>
      </c>
      <c r="T63" s="2287">
        <f t="shared" si="2"/>
        <v>0.23079231346035103</v>
      </c>
      <c r="U63" s="2287">
        <f t="shared" si="2"/>
        <v>0.28143432506171234</v>
      </c>
      <c r="V63" s="2290"/>
      <c r="W63" s="2290"/>
      <c r="X63" s="212"/>
      <c r="Y63" s="212"/>
    </row>
    <row r="64" spans="1:25" ht="79.2">
      <c r="A64" s="2926"/>
      <c r="B64" s="2926"/>
      <c r="C64" s="2926"/>
      <c r="D64" s="2927"/>
      <c r="E64" s="2281" t="s">
        <v>4536</v>
      </c>
      <c r="F64" s="555"/>
      <c r="G64" s="213"/>
      <c r="H64" s="1821"/>
      <c r="I64" s="212" t="s">
        <v>4537</v>
      </c>
      <c r="J64" s="212" t="s">
        <v>120</v>
      </c>
      <c r="K64" s="2282">
        <v>60</v>
      </c>
      <c r="L64" s="1815">
        <v>0.34</v>
      </c>
      <c r="M64" s="212">
        <v>60</v>
      </c>
      <c r="N64" s="2364">
        <v>0.34</v>
      </c>
      <c r="O64" s="3274"/>
      <c r="P64" s="2289">
        <v>144939108</v>
      </c>
      <c r="Q64" s="2289">
        <v>144939108</v>
      </c>
      <c r="R64" s="2289">
        <v>51291000</v>
      </c>
      <c r="S64" s="2289">
        <v>14370000</v>
      </c>
      <c r="T64" s="2287">
        <f t="shared" si="2"/>
        <v>0.35387964440901626</v>
      </c>
      <c r="U64" s="2287">
        <f t="shared" si="2"/>
        <v>0.28016611101362815</v>
      </c>
      <c r="V64" s="2290">
        <v>45295</v>
      </c>
      <c r="W64" s="2290">
        <v>45657</v>
      </c>
      <c r="X64" s="212" t="s">
        <v>4538</v>
      </c>
      <c r="Y64" s="212" t="s">
        <v>98</v>
      </c>
    </row>
    <row r="65" spans="1:25" ht="105.6">
      <c r="A65" s="2926"/>
      <c r="B65" s="2926"/>
      <c r="C65" s="2926"/>
      <c r="D65" s="2927"/>
      <c r="E65" s="2281" t="s">
        <v>4539</v>
      </c>
      <c r="F65" s="555"/>
      <c r="G65" s="213" t="s">
        <v>4540</v>
      </c>
      <c r="H65" s="1821"/>
      <c r="I65" s="212" t="s">
        <v>4541</v>
      </c>
      <c r="J65" s="212" t="s">
        <v>124</v>
      </c>
      <c r="K65" s="2282">
        <v>1</v>
      </c>
      <c r="L65" s="1815">
        <v>0.66</v>
      </c>
      <c r="M65" s="212">
        <v>1</v>
      </c>
      <c r="N65" s="2364">
        <v>0.66</v>
      </c>
      <c r="O65" s="3274"/>
      <c r="P65" s="2289">
        <v>188564200</v>
      </c>
      <c r="Q65" s="2289">
        <v>188564200</v>
      </c>
      <c r="R65" s="2289">
        <v>25679000</v>
      </c>
      <c r="S65" s="2289">
        <v>7292000</v>
      </c>
      <c r="T65" s="2287">
        <f t="shared" si="2"/>
        <v>0.13618173545137413</v>
      </c>
      <c r="U65" s="2287">
        <f t="shared" si="2"/>
        <v>0.28396744421511744</v>
      </c>
      <c r="V65" s="2290">
        <v>45295</v>
      </c>
      <c r="W65" s="2290">
        <v>45657</v>
      </c>
      <c r="X65" s="2245" t="s">
        <v>4542</v>
      </c>
      <c r="Y65" s="212" t="s">
        <v>98</v>
      </c>
    </row>
    <row r="66" spans="1:25" ht="27.6">
      <c r="A66" s="224"/>
      <c r="B66" s="224">
        <v>52010020005</v>
      </c>
      <c r="C66" s="224" t="s">
        <v>117</v>
      </c>
      <c r="D66" s="811" t="s">
        <v>4543</v>
      </c>
      <c r="E66" s="2281"/>
      <c r="F66" s="223"/>
      <c r="G66" s="2302"/>
      <c r="H66" s="493"/>
      <c r="I66" s="212"/>
      <c r="J66" s="212"/>
      <c r="K66" s="223"/>
      <c r="L66" s="2303"/>
      <c r="M66" s="212"/>
      <c r="N66" s="1873"/>
      <c r="O66" s="2285"/>
      <c r="P66" s="2280"/>
      <c r="Q66" s="2280"/>
      <c r="R66" s="2280"/>
      <c r="S66" s="2280"/>
      <c r="T66" s="2287"/>
      <c r="U66" s="2287"/>
      <c r="V66" s="2290"/>
      <c r="W66" s="2290"/>
      <c r="X66" s="212"/>
      <c r="Y66" s="212"/>
    </row>
    <row r="67" spans="1:25">
      <c r="A67" s="2926">
        <v>4164</v>
      </c>
      <c r="B67" s="2926"/>
      <c r="C67" s="2926"/>
      <c r="D67" s="2927" t="s">
        <v>4544</v>
      </c>
      <c r="E67" s="2281" t="s">
        <v>4545</v>
      </c>
      <c r="F67" s="555"/>
      <c r="G67" s="2304"/>
      <c r="H67" s="1821"/>
      <c r="I67" s="212"/>
      <c r="J67" s="212"/>
      <c r="K67" s="549">
        <f>+K68</f>
        <v>0</v>
      </c>
      <c r="L67" s="2283">
        <f>L68+L69+L70</f>
        <v>0</v>
      </c>
      <c r="M67" s="2284"/>
      <c r="N67" s="1873">
        <v>0</v>
      </c>
      <c r="O67" s="3274" t="str">
        <f>IF(Q67&gt;0, N67,"na")</f>
        <v>na</v>
      </c>
      <c r="P67" s="2286">
        <f>SUM(P68:P69)</f>
        <v>323814761</v>
      </c>
      <c r="Q67" s="2286">
        <f t="shared" ref="Q67:S67" si="16">SUM(Q68:Q69)</f>
        <v>0</v>
      </c>
      <c r="R67" s="2286">
        <f t="shared" si="16"/>
        <v>0</v>
      </c>
      <c r="S67" s="2286">
        <f t="shared" si="16"/>
        <v>0</v>
      </c>
      <c r="T67" s="2287">
        <f t="shared" ref="T67:U69" si="17">IF(Q67=0,0,R67/Q67)</f>
        <v>0</v>
      </c>
      <c r="U67" s="2287">
        <f t="shared" si="17"/>
        <v>0</v>
      </c>
      <c r="V67" s="2290"/>
      <c r="W67" s="2290"/>
      <c r="X67" s="212"/>
      <c r="Y67" s="212"/>
    </row>
    <row r="68" spans="1:25" ht="118.8">
      <c r="A68" s="2926"/>
      <c r="B68" s="2926"/>
      <c r="C68" s="2926"/>
      <c r="D68" s="2927"/>
      <c r="E68" s="2281" t="s">
        <v>4546</v>
      </c>
      <c r="F68" s="555"/>
      <c r="G68" s="213" t="s">
        <v>4547</v>
      </c>
      <c r="H68" s="1821"/>
      <c r="I68" s="212" t="s">
        <v>4485</v>
      </c>
      <c r="J68" s="212" t="s">
        <v>3864</v>
      </c>
      <c r="K68" s="2282">
        <v>0</v>
      </c>
      <c r="L68" s="1815">
        <v>0</v>
      </c>
      <c r="M68" s="212">
        <v>2</v>
      </c>
      <c r="N68" s="2364">
        <v>0</v>
      </c>
      <c r="O68" s="3274"/>
      <c r="P68" s="1822">
        <v>225292921</v>
      </c>
      <c r="Q68" s="1849">
        <v>0</v>
      </c>
      <c r="R68" s="1849">
        <v>0</v>
      </c>
      <c r="S68" s="1849">
        <v>0</v>
      </c>
      <c r="T68" s="2287">
        <f t="shared" si="17"/>
        <v>0</v>
      </c>
      <c r="U68" s="2287">
        <f t="shared" si="17"/>
        <v>0</v>
      </c>
      <c r="V68" s="2290"/>
      <c r="W68" s="2290"/>
      <c r="X68" s="212" t="s">
        <v>4548</v>
      </c>
      <c r="Y68" s="212" t="s">
        <v>98</v>
      </c>
    </row>
    <row r="69" spans="1:25" ht="39.6">
      <c r="A69" s="2926"/>
      <c r="B69" s="2926"/>
      <c r="C69" s="2926"/>
      <c r="D69" s="2927"/>
      <c r="E69" s="2281" t="s">
        <v>4549</v>
      </c>
      <c r="F69" s="555"/>
      <c r="G69" s="2304"/>
      <c r="H69" s="2298"/>
      <c r="I69" s="212" t="s">
        <v>4550</v>
      </c>
      <c r="J69" s="212" t="s">
        <v>3898</v>
      </c>
      <c r="K69" s="2282">
        <v>0</v>
      </c>
      <c r="L69" s="1815">
        <v>0</v>
      </c>
      <c r="M69" s="212">
        <v>13</v>
      </c>
      <c r="N69" s="2364">
        <v>0</v>
      </c>
      <c r="O69" s="3274"/>
      <c r="P69" s="1822">
        <v>98521840</v>
      </c>
      <c r="Q69" s="1849">
        <v>0</v>
      </c>
      <c r="R69" s="1849">
        <v>0</v>
      </c>
      <c r="S69" s="1849">
        <v>0</v>
      </c>
      <c r="T69" s="2287">
        <f t="shared" si="17"/>
        <v>0</v>
      </c>
      <c r="U69" s="2287">
        <f t="shared" si="17"/>
        <v>0</v>
      </c>
      <c r="V69" s="2290"/>
      <c r="W69" s="2290"/>
      <c r="X69" s="212" t="s">
        <v>4548</v>
      </c>
      <c r="Y69" s="212" t="s">
        <v>98</v>
      </c>
    </row>
    <row r="70" spans="1:25" ht="27.6">
      <c r="A70" s="224"/>
      <c r="B70" s="224">
        <v>52010010012</v>
      </c>
      <c r="C70" s="224" t="s">
        <v>117</v>
      </c>
      <c r="D70" s="217" t="s">
        <v>4547</v>
      </c>
      <c r="E70" s="2281"/>
      <c r="F70" s="222"/>
      <c r="G70" s="2302"/>
      <c r="H70" s="493"/>
      <c r="I70" s="212"/>
      <c r="J70" s="212"/>
      <c r="K70" s="223"/>
      <c r="L70" s="2303"/>
      <c r="M70" s="212"/>
      <c r="N70" s="1873"/>
      <c r="O70" s="2285"/>
      <c r="P70" s="2280"/>
      <c r="Q70" s="2280"/>
      <c r="R70" s="2280"/>
      <c r="S70" s="2280"/>
      <c r="T70" s="2287"/>
      <c r="U70" s="2287"/>
      <c r="V70" s="2290"/>
      <c r="W70" s="2290"/>
      <c r="X70" s="212"/>
      <c r="Y70" s="212"/>
    </row>
    <row r="71" spans="1:25">
      <c r="A71" s="2926">
        <v>4164</v>
      </c>
      <c r="B71" s="2926"/>
      <c r="C71" s="2926" t="s">
        <v>502</v>
      </c>
      <c r="D71" s="2927" t="s">
        <v>4544</v>
      </c>
      <c r="E71" s="2281" t="s">
        <v>4545</v>
      </c>
      <c r="F71" s="555"/>
      <c r="G71" s="2304"/>
      <c r="H71" s="1821"/>
      <c r="I71" s="212"/>
      <c r="J71" s="212"/>
      <c r="K71" s="549">
        <f>+K72</f>
        <v>2</v>
      </c>
      <c r="L71" s="2283">
        <f>L72+L73+L74</f>
        <v>1</v>
      </c>
      <c r="M71" s="2284"/>
      <c r="N71" s="1873">
        <f>N72+N73</f>
        <v>0</v>
      </c>
      <c r="O71" s="3274">
        <f>IF(Q71&gt;0, N71,"na")</f>
        <v>0</v>
      </c>
      <c r="P71" s="2286">
        <f>SUM(P72:P73)</f>
        <v>0</v>
      </c>
      <c r="Q71" s="2286">
        <f t="shared" ref="Q71:S71" si="18">SUM(Q72:Q73)</f>
        <v>323814761</v>
      </c>
      <c r="R71" s="2286">
        <f t="shared" si="18"/>
        <v>0</v>
      </c>
      <c r="S71" s="2286">
        <f t="shared" si="18"/>
        <v>0</v>
      </c>
      <c r="T71" s="2287">
        <f t="shared" si="2"/>
        <v>0</v>
      </c>
      <c r="U71" s="2287">
        <f t="shared" si="2"/>
        <v>0</v>
      </c>
      <c r="V71" s="2290"/>
      <c r="W71" s="2290"/>
      <c r="X71" s="212"/>
      <c r="Y71" s="212"/>
    </row>
    <row r="72" spans="1:25" ht="118.8">
      <c r="A72" s="2926"/>
      <c r="B72" s="2926"/>
      <c r="C72" s="2926"/>
      <c r="D72" s="2927"/>
      <c r="E72" s="464" t="s">
        <v>4546</v>
      </c>
      <c r="F72" s="2295"/>
      <c r="G72" s="464" t="s">
        <v>4551</v>
      </c>
      <c r="H72" s="1844"/>
      <c r="I72" s="464" t="s">
        <v>4485</v>
      </c>
      <c r="J72" s="464" t="s">
        <v>3864</v>
      </c>
      <c r="K72" s="1849">
        <v>2</v>
      </c>
      <c r="L72" s="2288">
        <v>0.5</v>
      </c>
      <c r="M72" s="1849">
        <v>0</v>
      </c>
      <c r="N72" s="1869">
        <v>0</v>
      </c>
      <c r="O72" s="3274"/>
      <c r="P72" s="2289">
        <v>0</v>
      </c>
      <c r="Q72" s="2289">
        <v>225292921</v>
      </c>
      <c r="R72" s="1849">
        <v>0</v>
      </c>
      <c r="S72" s="1849">
        <v>0</v>
      </c>
      <c r="T72" s="2287">
        <f t="shared" si="2"/>
        <v>0</v>
      </c>
      <c r="U72" s="2287">
        <f t="shared" si="2"/>
        <v>0</v>
      </c>
      <c r="V72" s="2290"/>
      <c r="W72" s="2290"/>
      <c r="X72" s="212"/>
      <c r="Y72" s="212" t="s">
        <v>98</v>
      </c>
    </row>
    <row r="73" spans="1:25" ht="39.6">
      <c r="A73" s="2926"/>
      <c r="B73" s="2926"/>
      <c r="C73" s="2926"/>
      <c r="D73" s="2927"/>
      <c r="E73" s="464" t="s">
        <v>4549</v>
      </c>
      <c r="F73" s="2295"/>
      <c r="G73" s="2105"/>
      <c r="H73" s="2295"/>
      <c r="I73" s="464" t="s">
        <v>4550</v>
      </c>
      <c r="J73" s="464" t="s">
        <v>3898</v>
      </c>
      <c r="K73" s="1849">
        <v>20</v>
      </c>
      <c r="L73" s="2288">
        <v>0.5</v>
      </c>
      <c r="M73" s="1849">
        <v>0</v>
      </c>
      <c r="N73" s="1869">
        <v>0</v>
      </c>
      <c r="O73" s="3274"/>
      <c r="P73" s="2289">
        <v>0</v>
      </c>
      <c r="Q73" s="2289">
        <v>98521840</v>
      </c>
      <c r="R73" s="1849">
        <v>0</v>
      </c>
      <c r="S73" s="1849">
        <v>0</v>
      </c>
      <c r="T73" s="2287">
        <f t="shared" si="2"/>
        <v>0</v>
      </c>
      <c r="U73" s="2287">
        <f t="shared" si="2"/>
        <v>0</v>
      </c>
      <c r="V73" s="2290"/>
      <c r="W73" s="2290"/>
      <c r="X73" s="212"/>
      <c r="Y73" s="212" t="s">
        <v>98</v>
      </c>
    </row>
    <row r="74" spans="1:25">
      <c r="A74" s="217"/>
      <c r="B74" s="224">
        <v>52010010013</v>
      </c>
      <c r="C74" s="224" t="s">
        <v>117</v>
      </c>
      <c r="D74" s="1928" t="s">
        <v>4552</v>
      </c>
      <c r="E74" s="2281"/>
      <c r="F74" s="2305"/>
      <c r="G74" s="2232"/>
      <c r="H74" s="1977"/>
      <c r="I74" s="1920"/>
      <c r="J74" s="212"/>
      <c r="K74" s="1928"/>
      <c r="L74" s="2306"/>
      <c r="M74" s="212"/>
      <c r="N74" s="1873"/>
      <c r="O74" s="2285"/>
      <c r="P74" s="2307"/>
      <c r="Q74" s="2307"/>
      <c r="R74" s="2307"/>
      <c r="S74" s="2307"/>
      <c r="T74" s="2287"/>
      <c r="U74" s="2287"/>
      <c r="V74" s="2290"/>
      <c r="W74" s="2290"/>
      <c r="X74" s="212"/>
      <c r="Y74" s="212"/>
    </row>
    <row r="75" spans="1:25">
      <c r="A75" s="2926">
        <v>4164</v>
      </c>
      <c r="B75" s="2926"/>
      <c r="C75" s="2928" t="s">
        <v>502</v>
      </c>
      <c r="D75" s="2927" t="s">
        <v>4553</v>
      </c>
      <c r="E75" s="2281" t="s">
        <v>4554</v>
      </c>
      <c r="F75" s="2308"/>
      <c r="G75" s="2232"/>
      <c r="H75" s="1821"/>
      <c r="I75" s="1920"/>
      <c r="J75" s="212"/>
      <c r="K75" s="1920">
        <f>+K76</f>
        <v>1</v>
      </c>
      <c r="L75" s="2283">
        <f>L76+L77+L78</f>
        <v>1</v>
      </c>
      <c r="M75" s="2284"/>
      <c r="N75" s="1873">
        <f>N76+N77</f>
        <v>0.1857</v>
      </c>
      <c r="O75" s="3274">
        <f>IF(Q75&gt;0, N75,"na")</f>
        <v>0.1857</v>
      </c>
      <c r="P75" s="2309">
        <f>SUM(P76:P77)</f>
        <v>233612370</v>
      </c>
      <c r="Q75" s="2309">
        <f t="shared" ref="Q75:S75" si="19">SUM(Q76:Q77)</f>
        <v>233612370</v>
      </c>
      <c r="R75" s="2309">
        <f t="shared" si="19"/>
        <v>83938000</v>
      </c>
      <c r="S75" s="2309">
        <f t="shared" si="19"/>
        <v>22969000</v>
      </c>
      <c r="T75" s="2287">
        <f t="shared" si="2"/>
        <v>0.35930460360468069</v>
      </c>
      <c r="U75" s="2287">
        <f t="shared" si="2"/>
        <v>0.27364245038004242</v>
      </c>
      <c r="V75" s="2290"/>
      <c r="W75" s="2290"/>
      <c r="X75" s="212"/>
      <c r="Y75" s="212"/>
    </row>
    <row r="76" spans="1:25" ht="52.8">
      <c r="A76" s="2926"/>
      <c r="B76" s="2926"/>
      <c r="C76" s="2928"/>
      <c r="D76" s="2927"/>
      <c r="E76" s="464" t="s">
        <v>4555</v>
      </c>
      <c r="F76" s="2295"/>
      <c r="G76" s="464" t="s">
        <v>4556</v>
      </c>
      <c r="H76" s="1844"/>
      <c r="I76" s="464" t="s">
        <v>4557</v>
      </c>
      <c r="J76" s="464" t="s">
        <v>4558</v>
      </c>
      <c r="K76" s="1849">
        <v>1</v>
      </c>
      <c r="L76" s="2288">
        <v>0.75</v>
      </c>
      <c r="M76" s="1849">
        <v>0</v>
      </c>
      <c r="N76" s="1869">
        <v>0.15</v>
      </c>
      <c r="O76" s="3274"/>
      <c r="P76" s="2289">
        <v>175373558</v>
      </c>
      <c r="Q76" s="2289">
        <v>175373558</v>
      </c>
      <c r="R76" s="2289">
        <v>55022000</v>
      </c>
      <c r="S76" s="2289">
        <v>8511000</v>
      </c>
      <c r="T76" s="2287">
        <f t="shared" si="2"/>
        <v>0.31374171013853752</v>
      </c>
      <c r="U76" s="2287">
        <f t="shared" si="2"/>
        <v>0.15468358111300934</v>
      </c>
      <c r="V76" s="2290">
        <v>45308</v>
      </c>
      <c r="W76" s="2290">
        <v>45657</v>
      </c>
      <c r="X76" s="212" t="s">
        <v>4559</v>
      </c>
      <c r="Y76" s="212" t="s">
        <v>98</v>
      </c>
    </row>
    <row r="77" spans="1:25" ht="66">
      <c r="A77" s="2926"/>
      <c r="B77" s="2926"/>
      <c r="C77" s="2928"/>
      <c r="D77" s="2927"/>
      <c r="E77" s="464" t="s">
        <v>4560</v>
      </c>
      <c r="F77" s="2295"/>
      <c r="G77" s="2105"/>
      <c r="H77" s="2295"/>
      <c r="I77" s="464" t="s">
        <v>4561</v>
      </c>
      <c r="J77" s="464" t="s">
        <v>3839</v>
      </c>
      <c r="K77" s="1849">
        <v>7</v>
      </c>
      <c r="L77" s="2288">
        <v>0.25</v>
      </c>
      <c r="M77" s="1849">
        <v>1</v>
      </c>
      <c r="N77" s="1869">
        <v>3.5700000000000003E-2</v>
      </c>
      <c r="O77" s="3274"/>
      <c r="P77" s="2289">
        <v>58238812</v>
      </c>
      <c r="Q77" s="2289">
        <v>58238812</v>
      </c>
      <c r="R77" s="2289">
        <v>28916000</v>
      </c>
      <c r="S77" s="2289">
        <v>14458000</v>
      </c>
      <c r="T77" s="2287">
        <f t="shared" ref="T77:U140" si="20">IF(Q77=0,0,R77/Q77)</f>
        <v>0.49650738067939987</v>
      </c>
      <c r="U77" s="2287">
        <f t="shared" si="20"/>
        <v>0.5</v>
      </c>
      <c r="V77" s="2290">
        <v>45308</v>
      </c>
      <c r="W77" s="2290">
        <v>45657</v>
      </c>
      <c r="X77" s="2245" t="s">
        <v>4562</v>
      </c>
      <c r="Y77" s="212" t="s">
        <v>98</v>
      </c>
    </row>
    <row r="78" spans="1:25" ht="27.6">
      <c r="A78" s="222"/>
      <c r="B78" s="222">
        <v>52010010014</v>
      </c>
      <c r="C78" s="222" t="s">
        <v>117</v>
      </c>
      <c r="D78" s="1928" t="s">
        <v>4563</v>
      </c>
      <c r="E78" s="2281"/>
      <c r="F78" s="222"/>
      <c r="G78" s="2232"/>
      <c r="H78" s="493"/>
      <c r="I78" s="212"/>
      <c r="J78" s="212"/>
      <c r="K78" s="223"/>
      <c r="L78" s="2227"/>
      <c r="M78" s="212"/>
      <c r="N78" s="1873"/>
      <c r="O78" s="2285"/>
      <c r="P78" s="2227"/>
      <c r="Q78" s="2227"/>
      <c r="R78" s="2227"/>
      <c r="S78" s="2227"/>
      <c r="T78" s="2287"/>
      <c r="U78" s="2287"/>
      <c r="V78" s="2290"/>
      <c r="W78" s="2290"/>
      <c r="X78" s="212"/>
      <c r="Y78" s="212"/>
    </row>
    <row r="79" spans="1:25">
      <c r="A79" s="2928">
        <v>4164</v>
      </c>
      <c r="B79" s="2928"/>
      <c r="C79" s="2928" t="s">
        <v>502</v>
      </c>
      <c r="D79" s="2927" t="s">
        <v>4564</v>
      </c>
      <c r="E79" s="2281" t="s">
        <v>4565</v>
      </c>
      <c r="F79" s="555"/>
      <c r="G79" s="2232"/>
      <c r="H79" s="1821"/>
      <c r="I79" s="212"/>
      <c r="J79" s="212"/>
      <c r="K79" s="549">
        <f>SUM(K82)</f>
        <v>1</v>
      </c>
      <c r="L79" s="2283">
        <f>L80+L81+L83</f>
        <v>0.64</v>
      </c>
      <c r="M79" s="2284"/>
      <c r="N79" s="1873">
        <f t="shared" ref="N79" si="21">N80+N81+N83</f>
        <v>0</v>
      </c>
      <c r="O79" s="3274">
        <f>IF(Q79&gt;0, N79,"na")</f>
        <v>0</v>
      </c>
      <c r="P79" s="2286">
        <f>SUM(P80:P83)</f>
        <v>282833581</v>
      </c>
      <c r="Q79" s="2286">
        <f t="shared" ref="Q79:S79" si="22">SUM(Q80:Q83)</f>
        <v>282833581</v>
      </c>
      <c r="R79" s="2286">
        <f t="shared" si="22"/>
        <v>28697500</v>
      </c>
      <c r="S79" s="2286">
        <f t="shared" si="22"/>
        <v>5231000</v>
      </c>
      <c r="T79" s="2287">
        <f t="shared" si="20"/>
        <v>0.1014642600024217</v>
      </c>
      <c r="U79" s="2287">
        <f t="shared" si="20"/>
        <v>0.18228068647094695</v>
      </c>
      <c r="V79" s="2290"/>
      <c r="W79" s="2290"/>
      <c r="X79" s="212"/>
      <c r="Y79" s="212"/>
    </row>
    <row r="80" spans="1:25" ht="66">
      <c r="A80" s="2928"/>
      <c r="B80" s="2928"/>
      <c r="C80" s="2928"/>
      <c r="D80" s="2927"/>
      <c r="E80" s="464" t="s">
        <v>4566</v>
      </c>
      <c r="F80" s="2295"/>
      <c r="G80" s="2105"/>
      <c r="H80" s="2295"/>
      <c r="I80" s="464" t="s">
        <v>4567</v>
      </c>
      <c r="J80" s="464" t="s">
        <v>139</v>
      </c>
      <c r="K80" s="1849">
        <v>1</v>
      </c>
      <c r="L80" s="2288">
        <v>0.25</v>
      </c>
      <c r="M80" s="1849">
        <v>0</v>
      </c>
      <c r="N80" s="1869">
        <v>0</v>
      </c>
      <c r="O80" s="3274"/>
      <c r="P80" s="2289">
        <v>70745141</v>
      </c>
      <c r="Q80" s="2289">
        <v>70745141</v>
      </c>
      <c r="R80" s="1849">
        <v>0</v>
      </c>
      <c r="S80" s="1849">
        <v>0</v>
      </c>
      <c r="T80" s="2287">
        <f t="shared" si="20"/>
        <v>0</v>
      </c>
      <c r="U80" s="2287">
        <f t="shared" si="20"/>
        <v>0</v>
      </c>
      <c r="V80" s="2290"/>
      <c r="W80" s="2290"/>
      <c r="X80" s="212"/>
      <c r="Y80" s="212" t="s">
        <v>98</v>
      </c>
    </row>
    <row r="81" spans="1:25" ht="52.8">
      <c r="A81" s="2928"/>
      <c r="B81" s="2928"/>
      <c r="C81" s="2928"/>
      <c r="D81" s="2927"/>
      <c r="E81" s="464" t="s">
        <v>4568</v>
      </c>
      <c r="F81" s="2295"/>
      <c r="G81" s="2105"/>
      <c r="H81" s="2295"/>
      <c r="I81" s="464" t="s">
        <v>4569</v>
      </c>
      <c r="J81" s="464" t="s">
        <v>556</v>
      </c>
      <c r="K81" s="1849">
        <v>1</v>
      </c>
      <c r="L81" s="2288">
        <v>0.01</v>
      </c>
      <c r="M81" s="1849">
        <v>0</v>
      </c>
      <c r="N81" s="1869">
        <v>0</v>
      </c>
      <c r="O81" s="3274"/>
      <c r="P81" s="2289">
        <v>331820</v>
      </c>
      <c r="Q81" s="2289">
        <v>331820</v>
      </c>
      <c r="R81" s="1849">
        <v>0</v>
      </c>
      <c r="S81" s="1849">
        <v>0</v>
      </c>
      <c r="T81" s="2287">
        <f t="shared" si="20"/>
        <v>0</v>
      </c>
      <c r="U81" s="2287">
        <f t="shared" si="20"/>
        <v>0</v>
      </c>
      <c r="V81" s="2290"/>
      <c r="W81" s="2290"/>
      <c r="X81" s="212"/>
      <c r="Y81" s="212" t="s">
        <v>98</v>
      </c>
    </row>
    <row r="82" spans="1:25" ht="132">
      <c r="A82" s="2928"/>
      <c r="B82" s="2928"/>
      <c r="C82" s="2928"/>
      <c r="D82" s="2927"/>
      <c r="E82" s="464" t="s">
        <v>4570</v>
      </c>
      <c r="F82" s="2295"/>
      <c r="G82" s="464" t="s">
        <v>4571</v>
      </c>
      <c r="H82" s="2295"/>
      <c r="I82" s="464" t="s">
        <v>4572</v>
      </c>
      <c r="J82" s="464" t="s">
        <v>2612</v>
      </c>
      <c r="K82" s="1849">
        <v>1</v>
      </c>
      <c r="L82" s="2288">
        <v>0.36</v>
      </c>
      <c r="M82" s="1849">
        <v>0</v>
      </c>
      <c r="N82" s="1869">
        <v>0</v>
      </c>
      <c r="O82" s="3274"/>
      <c r="P82" s="2289">
        <v>104523660</v>
      </c>
      <c r="Q82" s="2289">
        <v>104523660</v>
      </c>
      <c r="R82" s="2289">
        <v>28697500</v>
      </c>
      <c r="S82" s="2289">
        <v>5231000</v>
      </c>
      <c r="T82" s="2287">
        <f t="shared" si="20"/>
        <v>0.27455506246145611</v>
      </c>
      <c r="U82" s="2287">
        <f t="shared" si="20"/>
        <v>0.18228068647094695</v>
      </c>
      <c r="V82" s="2290">
        <v>45308</v>
      </c>
      <c r="W82" s="2290">
        <v>45657</v>
      </c>
      <c r="X82" s="212" t="s">
        <v>4573</v>
      </c>
      <c r="Y82" s="212" t="s">
        <v>98</v>
      </c>
    </row>
    <row r="83" spans="1:25" ht="52.8">
      <c r="A83" s="2928"/>
      <c r="B83" s="2928"/>
      <c r="C83" s="2928"/>
      <c r="D83" s="2927"/>
      <c r="E83" s="464" t="s">
        <v>4574</v>
      </c>
      <c r="F83" s="2295"/>
      <c r="G83" s="2105"/>
      <c r="H83" s="1844"/>
      <c r="I83" s="464" t="s">
        <v>4575</v>
      </c>
      <c r="J83" s="464" t="s">
        <v>120</v>
      </c>
      <c r="K83" s="1849">
        <v>200</v>
      </c>
      <c r="L83" s="2288">
        <v>0.38</v>
      </c>
      <c r="M83" s="1849">
        <v>0</v>
      </c>
      <c r="N83" s="1869">
        <v>0</v>
      </c>
      <c r="O83" s="3274"/>
      <c r="P83" s="2289">
        <v>107232960</v>
      </c>
      <c r="Q83" s="2289">
        <v>107232960</v>
      </c>
      <c r="R83" s="1849">
        <v>0</v>
      </c>
      <c r="S83" s="1849">
        <v>0</v>
      </c>
      <c r="T83" s="2287">
        <f t="shared" si="20"/>
        <v>0</v>
      </c>
      <c r="U83" s="2287">
        <f t="shared" si="20"/>
        <v>0</v>
      </c>
      <c r="V83" s="2290"/>
      <c r="W83" s="2290"/>
      <c r="X83" s="212"/>
      <c r="Y83" s="212" t="s">
        <v>98</v>
      </c>
    </row>
    <row r="84" spans="1:25" ht="41.4">
      <c r="A84" s="217"/>
      <c r="B84" s="224">
        <v>52010010016</v>
      </c>
      <c r="C84" s="224" t="s">
        <v>117</v>
      </c>
      <c r="D84" s="1928" t="s">
        <v>4576</v>
      </c>
      <c r="E84" s="2281"/>
      <c r="F84" s="2310"/>
      <c r="G84" s="2232"/>
      <c r="H84" s="1977"/>
      <c r="I84" s="1920"/>
      <c r="J84" s="212"/>
      <c r="K84" s="1928"/>
      <c r="L84" s="2306"/>
      <c r="M84" s="212"/>
      <c r="N84" s="1873"/>
      <c r="O84" s="2285"/>
      <c r="P84" s="2307"/>
      <c r="Q84" s="2307"/>
      <c r="R84" s="2307"/>
      <c r="S84" s="2307"/>
      <c r="T84" s="2287"/>
      <c r="U84" s="2287"/>
      <c r="V84" s="2290"/>
      <c r="W84" s="2290"/>
      <c r="X84" s="212"/>
      <c r="Y84" s="212"/>
    </row>
    <row r="85" spans="1:25">
      <c r="A85" s="2926">
        <v>4164</v>
      </c>
      <c r="B85" s="2926"/>
      <c r="C85" s="2928" t="s">
        <v>502</v>
      </c>
      <c r="D85" s="2927" t="s">
        <v>4577</v>
      </c>
      <c r="E85" s="2281" t="s">
        <v>4578</v>
      </c>
      <c r="F85" s="2308"/>
      <c r="G85" s="2232"/>
      <c r="H85" s="1821"/>
      <c r="I85" s="1920"/>
      <c r="J85" s="212"/>
      <c r="K85" s="1920">
        <f>+K86</f>
        <v>2</v>
      </c>
      <c r="L85" s="2283">
        <f>L86+L87+L88</f>
        <v>1</v>
      </c>
      <c r="M85" s="2284"/>
      <c r="N85" s="1873">
        <f>N86+N87</f>
        <v>0.15429999999999999</v>
      </c>
      <c r="O85" s="3274">
        <f>IF(Q85&gt;0, N85,"na")</f>
        <v>0.15429999999999999</v>
      </c>
      <c r="P85" s="2309">
        <f>SUM(P86:P87)</f>
        <v>871136998</v>
      </c>
      <c r="Q85" s="2309">
        <f t="shared" ref="Q85:S85" si="23">SUM(Q86:Q87)</f>
        <v>871136998</v>
      </c>
      <c r="R85" s="2309">
        <f t="shared" si="23"/>
        <v>94065500</v>
      </c>
      <c r="S85" s="2309">
        <f t="shared" si="23"/>
        <v>19689000</v>
      </c>
      <c r="T85" s="2287">
        <f t="shared" si="20"/>
        <v>0.10798014573592936</v>
      </c>
      <c r="U85" s="2287">
        <f t="shared" si="20"/>
        <v>0.20931159670655022</v>
      </c>
      <c r="V85" s="2290"/>
      <c r="W85" s="2290"/>
      <c r="X85" s="212"/>
      <c r="Y85" s="212"/>
    </row>
    <row r="86" spans="1:25" ht="158.4">
      <c r="A86" s="2926"/>
      <c r="B86" s="2926"/>
      <c r="C86" s="2928"/>
      <c r="D86" s="2927"/>
      <c r="E86" s="464" t="s">
        <v>4579</v>
      </c>
      <c r="F86" s="2295"/>
      <c r="G86" s="464" t="s">
        <v>4580</v>
      </c>
      <c r="H86" s="1844"/>
      <c r="I86" s="464" t="s">
        <v>4581</v>
      </c>
      <c r="J86" s="464" t="s">
        <v>3839</v>
      </c>
      <c r="K86" s="1849">
        <v>2</v>
      </c>
      <c r="L86" s="2288">
        <v>0.6</v>
      </c>
      <c r="M86" s="1849">
        <v>0</v>
      </c>
      <c r="N86" s="1869">
        <v>0.11</v>
      </c>
      <c r="O86" s="3274"/>
      <c r="P86" s="2289">
        <v>545418880</v>
      </c>
      <c r="Q86" s="2289">
        <v>545418880</v>
      </c>
      <c r="R86" s="2289">
        <v>58589500</v>
      </c>
      <c r="S86" s="2289">
        <v>5231000</v>
      </c>
      <c r="T86" s="2287">
        <f t="shared" si="20"/>
        <v>0.1074211072414655</v>
      </c>
      <c r="U86" s="2287">
        <f t="shared" si="20"/>
        <v>8.9282209269579027E-2</v>
      </c>
      <c r="V86" s="2290">
        <v>45307</v>
      </c>
      <c r="W86" s="2290">
        <v>45657</v>
      </c>
      <c r="X86" s="212" t="s">
        <v>4582</v>
      </c>
      <c r="Y86" s="212" t="s">
        <v>98</v>
      </c>
    </row>
    <row r="87" spans="1:25" ht="92.4">
      <c r="A87" s="2926"/>
      <c r="B87" s="2926"/>
      <c r="C87" s="2928"/>
      <c r="D87" s="2927"/>
      <c r="E87" s="464" t="s">
        <v>4583</v>
      </c>
      <c r="F87" s="2295"/>
      <c r="G87" s="2105"/>
      <c r="H87" s="2295"/>
      <c r="I87" s="464" t="s">
        <v>4584</v>
      </c>
      <c r="J87" s="464" t="s">
        <v>2573</v>
      </c>
      <c r="K87" s="1849">
        <v>2</v>
      </c>
      <c r="L87" s="2288">
        <v>0.4</v>
      </c>
      <c r="M87" s="1849">
        <v>0</v>
      </c>
      <c r="N87" s="1869">
        <v>4.4299999999999999E-2</v>
      </c>
      <c r="O87" s="3274"/>
      <c r="P87" s="2289">
        <v>325718118</v>
      </c>
      <c r="Q87" s="2289">
        <v>325718118</v>
      </c>
      <c r="R87" s="2289">
        <v>35476000</v>
      </c>
      <c r="S87" s="2289">
        <v>14458000</v>
      </c>
      <c r="T87" s="2287">
        <f t="shared" si="20"/>
        <v>0.10891626237383577</v>
      </c>
      <c r="U87" s="2287">
        <f t="shared" si="20"/>
        <v>0.4075431277483369</v>
      </c>
      <c r="V87" s="2290">
        <v>45307</v>
      </c>
      <c r="W87" s="2290">
        <v>45657</v>
      </c>
      <c r="X87" s="212" t="s">
        <v>4585</v>
      </c>
      <c r="Y87" s="212" t="s">
        <v>98</v>
      </c>
    </row>
    <row r="88" spans="1:25">
      <c r="A88" s="214"/>
      <c r="B88" s="873">
        <v>5201002</v>
      </c>
      <c r="C88" s="214" t="s">
        <v>116</v>
      </c>
      <c r="D88" s="872" t="s">
        <v>1711</v>
      </c>
      <c r="E88" s="2281"/>
      <c r="F88" s="214"/>
      <c r="G88" s="2266"/>
      <c r="H88" s="381"/>
      <c r="I88" s="212"/>
      <c r="J88" s="212"/>
      <c r="K88" s="239"/>
      <c r="L88" s="546"/>
      <c r="M88" s="212"/>
      <c r="N88" s="1873"/>
      <c r="O88" s="2285"/>
      <c r="P88" s="1823"/>
      <c r="Q88" s="1823"/>
      <c r="R88" s="1823"/>
      <c r="S88" s="1823"/>
      <c r="T88" s="2287"/>
      <c r="U88" s="2287"/>
      <c r="V88" s="2290"/>
      <c r="W88" s="2290"/>
      <c r="X88" s="212"/>
      <c r="Y88" s="212"/>
    </row>
    <row r="89" spans="1:25" ht="27.6">
      <c r="A89" s="222"/>
      <c r="B89" s="222">
        <v>52010020005</v>
      </c>
      <c r="C89" s="222" t="s">
        <v>117</v>
      </c>
      <c r="D89" s="846" t="s">
        <v>4586</v>
      </c>
      <c r="E89" s="2281"/>
      <c r="F89" s="222"/>
      <c r="G89" s="2266"/>
      <c r="H89" s="493"/>
      <c r="I89" s="212"/>
      <c r="J89" s="212"/>
      <c r="K89" s="246"/>
      <c r="L89" s="2227"/>
      <c r="M89" s="212"/>
      <c r="N89" s="1873"/>
      <c r="O89" s="2285"/>
      <c r="P89" s="2227"/>
      <c r="Q89" s="2227"/>
      <c r="R89" s="2227"/>
      <c r="S89" s="2227"/>
      <c r="T89" s="2287"/>
      <c r="U89" s="2287"/>
      <c r="V89" s="2290"/>
      <c r="W89" s="2290"/>
      <c r="X89" s="212"/>
      <c r="Y89" s="212"/>
    </row>
    <row r="90" spans="1:25">
      <c r="A90" s="2928">
        <v>4164</v>
      </c>
      <c r="B90" s="2928"/>
      <c r="C90" s="2928" t="s">
        <v>502</v>
      </c>
      <c r="D90" s="3066" t="s">
        <v>4587</v>
      </c>
      <c r="E90" s="2281" t="s">
        <v>4588</v>
      </c>
      <c r="F90" s="555"/>
      <c r="G90" s="2266"/>
      <c r="H90" s="1821"/>
      <c r="I90" s="212"/>
      <c r="J90" s="212"/>
      <c r="K90" s="807">
        <f>+K91</f>
        <v>500</v>
      </c>
      <c r="L90" s="2283">
        <f>L91+L92+L93</f>
        <v>1</v>
      </c>
      <c r="M90" s="2284"/>
      <c r="N90" s="1873">
        <f>N91+N92</f>
        <v>0.15000000000000002</v>
      </c>
      <c r="O90" s="3274">
        <f>IF(Q90&gt;0, N90,"na")</f>
        <v>0.15000000000000002</v>
      </c>
      <c r="P90" s="2286">
        <f>SUM(P91:P92)</f>
        <v>305712125</v>
      </c>
      <c r="Q90" s="2286">
        <f t="shared" ref="Q90:S90" si="24">SUM(Q91:Q92)</f>
        <v>305712125</v>
      </c>
      <c r="R90" s="2286">
        <f t="shared" si="24"/>
        <v>83145000</v>
      </c>
      <c r="S90" s="2286">
        <f t="shared" si="24"/>
        <v>20924000</v>
      </c>
      <c r="T90" s="2287">
        <f t="shared" si="20"/>
        <v>0.27197154839704185</v>
      </c>
      <c r="U90" s="2287">
        <f t="shared" si="20"/>
        <v>0.25165674424198686</v>
      </c>
      <c r="V90" s="2290"/>
      <c r="W90" s="2290"/>
      <c r="X90" s="212"/>
      <c r="Y90" s="212"/>
    </row>
    <row r="91" spans="1:25" ht="132">
      <c r="A91" s="2928"/>
      <c r="B91" s="2928"/>
      <c r="C91" s="2928"/>
      <c r="D91" s="3066"/>
      <c r="E91" s="464" t="s">
        <v>4589</v>
      </c>
      <c r="F91" s="2295"/>
      <c r="G91" s="464" t="s">
        <v>4543</v>
      </c>
      <c r="H91" s="1844"/>
      <c r="I91" s="464" t="s">
        <v>4590</v>
      </c>
      <c r="J91" s="464" t="s">
        <v>267</v>
      </c>
      <c r="K91" s="1849">
        <v>500</v>
      </c>
      <c r="L91" s="2288">
        <v>0.5</v>
      </c>
      <c r="M91" s="1849">
        <v>0</v>
      </c>
      <c r="N91" s="1869">
        <v>0.05</v>
      </c>
      <c r="O91" s="3274"/>
      <c r="P91" s="2289">
        <v>249238685</v>
      </c>
      <c r="Q91" s="2289">
        <v>249238685</v>
      </c>
      <c r="R91" s="2289">
        <v>83145000</v>
      </c>
      <c r="S91" s="2289">
        <v>20924000</v>
      </c>
      <c r="T91" s="2287">
        <f t="shared" si="20"/>
        <v>0.33359588620843511</v>
      </c>
      <c r="U91" s="2287">
        <f t="shared" si="20"/>
        <v>0.25165674424198686</v>
      </c>
      <c r="V91" s="2290">
        <v>45307</v>
      </c>
      <c r="W91" s="2290">
        <v>45657</v>
      </c>
      <c r="X91" s="212" t="s">
        <v>4591</v>
      </c>
      <c r="Y91" s="212" t="s">
        <v>98</v>
      </c>
    </row>
    <row r="92" spans="1:25" ht="66">
      <c r="A92" s="2928"/>
      <c r="B92" s="2928"/>
      <c r="C92" s="2928"/>
      <c r="D92" s="3066"/>
      <c r="E92" s="464" t="s">
        <v>4592</v>
      </c>
      <c r="F92" s="2295"/>
      <c r="G92" s="2105"/>
      <c r="H92" s="2295"/>
      <c r="I92" s="464" t="s">
        <v>4593</v>
      </c>
      <c r="J92" s="464" t="s">
        <v>4440</v>
      </c>
      <c r="K92" s="1849">
        <v>1</v>
      </c>
      <c r="L92" s="2288">
        <v>0.5</v>
      </c>
      <c r="M92" s="1849">
        <v>0</v>
      </c>
      <c r="N92" s="1869">
        <v>0.1</v>
      </c>
      <c r="O92" s="3274"/>
      <c r="P92" s="2289">
        <v>56473440</v>
      </c>
      <c r="Q92" s="2289">
        <v>56473440</v>
      </c>
      <c r="R92" s="1849">
        <v>0</v>
      </c>
      <c r="S92" s="1849">
        <v>0</v>
      </c>
      <c r="T92" s="2287">
        <f t="shared" si="20"/>
        <v>0</v>
      </c>
      <c r="U92" s="2287">
        <f t="shared" si="20"/>
        <v>0</v>
      </c>
      <c r="V92" s="2290"/>
      <c r="W92" s="2290"/>
      <c r="X92" s="212"/>
      <c r="Y92" s="212" t="s">
        <v>98</v>
      </c>
    </row>
    <row r="93" spans="1:25" ht="27.6">
      <c r="A93" s="555"/>
      <c r="B93" s="222">
        <v>52010020007</v>
      </c>
      <c r="C93" s="222" t="s">
        <v>117</v>
      </c>
      <c r="D93" s="2292" t="s">
        <v>4594</v>
      </c>
      <c r="E93" s="2281"/>
      <c r="F93" s="222"/>
      <c r="G93" s="2266"/>
      <c r="H93" s="1821"/>
      <c r="I93" s="1920"/>
      <c r="J93" s="1920"/>
      <c r="K93" s="807"/>
      <c r="L93" s="589"/>
      <c r="M93" s="212"/>
      <c r="N93" s="1873"/>
      <c r="O93" s="2285"/>
      <c r="P93" s="807"/>
      <c r="Q93" s="807"/>
      <c r="R93" s="807"/>
      <c r="S93" s="807"/>
      <c r="T93" s="2287"/>
      <c r="U93" s="2287"/>
      <c r="V93" s="2290"/>
      <c r="W93" s="2290"/>
      <c r="X93" s="212"/>
      <c r="Y93" s="212"/>
    </row>
    <row r="94" spans="1:25">
      <c r="A94" s="2928">
        <v>4164</v>
      </c>
      <c r="B94" s="2928"/>
      <c r="C94" s="2928" t="s">
        <v>502</v>
      </c>
      <c r="D94" s="3042" t="s">
        <v>4595</v>
      </c>
      <c r="E94" s="2281" t="s">
        <v>4596</v>
      </c>
      <c r="F94" s="555"/>
      <c r="G94" s="2266"/>
      <c r="H94" s="1821"/>
      <c r="I94" s="1920"/>
      <c r="J94" s="1920"/>
      <c r="K94" s="807">
        <f>SUM(K95)</f>
        <v>1</v>
      </c>
      <c r="L94" s="2283">
        <f>L95+L96+L97</f>
        <v>1</v>
      </c>
      <c r="M94" s="2284"/>
      <c r="N94" s="1873">
        <f>N95+N96</f>
        <v>0</v>
      </c>
      <c r="O94" s="3274">
        <f>IF(Q94&gt;0, N94,"na")</f>
        <v>0</v>
      </c>
      <c r="P94" s="2286">
        <f>P95+P96</f>
        <v>234601230</v>
      </c>
      <c r="Q94" s="2286">
        <f t="shared" ref="Q94:S94" si="25">Q95+Q96</f>
        <v>234601230</v>
      </c>
      <c r="R94" s="2286">
        <f t="shared" si="25"/>
        <v>32019000</v>
      </c>
      <c r="S94" s="2286">
        <f t="shared" si="25"/>
        <v>10462000</v>
      </c>
      <c r="T94" s="2287">
        <f t="shared" si="20"/>
        <v>0.13648266038502868</v>
      </c>
      <c r="U94" s="2287">
        <f t="shared" si="20"/>
        <v>0.32674349604922076</v>
      </c>
      <c r="V94" s="2290"/>
      <c r="W94" s="2290"/>
      <c r="X94" s="212"/>
      <c r="Y94" s="212"/>
    </row>
    <row r="95" spans="1:25" ht="79.2">
      <c r="A95" s="2928"/>
      <c r="B95" s="2928"/>
      <c r="C95" s="2928"/>
      <c r="D95" s="3042"/>
      <c r="E95" s="464" t="s">
        <v>4597</v>
      </c>
      <c r="F95" s="2295"/>
      <c r="G95" s="3176" t="s">
        <v>4594</v>
      </c>
      <c r="H95" s="1844"/>
      <c r="I95" s="464" t="s">
        <v>4598</v>
      </c>
      <c r="J95" s="464" t="s">
        <v>4599</v>
      </c>
      <c r="K95" s="1849">
        <v>1</v>
      </c>
      <c r="L95" s="2288">
        <v>0.49</v>
      </c>
      <c r="M95" s="1849">
        <v>0</v>
      </c>
      <c r="N95" s="1869">
        <v>0</v>
      </c>
      <c r="O95" s="3274"/>
      <c r="P95" s="2289">
        <v>179840600</v>
      </c>
      <c r="Q95" s="2289">
        <v>179840600</v>
      </c>
      <c r="R95" s="2289">
        <v>32019000</v>
      </c>
      <c r="S95" s="2289">
        <v>10462000</v>
      </c>
      <c r="T95" s="2287">
        <f t="shared" si="20"/>
        <v>0.17804099852869709</v>
      </c>
      <c r="U95" s="2287">
        <f t="shared" si="20"/>
        <v>0.32674349604922076</v>
      </c>
      <c r="V95" s="2290">
        <v>45308</v>
      </c>
      <c r="W95" s="2290">
        <v>45657</v>
      </c>
      <c r="X95" s="212" t="s">
        <v>4600</v>
      </c>
      <c r="Y95" s="212" t="s">
        <v>98</v>
      </c>
    </row>
    <row r="96" spans="1:25" ht="26.4">
      <c r="A96" s="2928"/>
      <c r="B96" s="2928"/>
      <c r="C96" s="2928"/>
      <c r="D96" s="3042"/>
      <c r="E96" s="464" t="s">
        <v>4601</v>
      </c>
      <c r="F96" s="2295"/>
      <c r="G96" s="3176"/>
      <c r="H96" s="2295"/>
      <c r="I96" s="464" t="s">
        <v>4602</v>
      </c>
      <c r="J96" s="464" t="s">
        <v>3839</v>
      </c>
      <c r="K96" s="1849">
        <v>25</v>
      </c>
      <c r="L96" s="2288">
        <v>0.51</v>
      </c>
      <c r="M96" s="1849">
        <v>0</v>
      </c>
      <c r="N96" s="1869">
        <v>0</v>
      </c>
      <c r="O96" s="3274"/>
      <c r="P96" s="2289">
        <v>54760630</v>
      </c>
      <c r="Q96" s="2289">
        <v>54760630</v>
      </c>
      <c r="R96" s="1849">
        <v>0</v>
      </c>
      <c r="S96" s="1849">
        <v>0</v>
      </c>
      <c r="T96" s="2287">
        <f t="shared" si="20"/>
        <v>0</v>
      </c>
      <c r="U96" s="2287">
        <f t="shared" si="20"/>
        <v>0</v>
      </c>
      <c r="V96" s="2290"/>
      <c r="W96" s="2290"/>
      <c r="X96" s="2245"/>
      <c r="Y96" s="212" t="s">
        <v>98</v>
      </c>
    </row>
    <row r="97" spans="1:25" ht="27.6">
      <c r="A97" s="223"/>
      <c r="B97" s="222">
        <v>52010020010</v>
      </c>
      <c r="C97" s="222" t="s">
        <v>117</v>
      </c>
      <c r="D97" s="2292" t="s">
        <v>4603</v>
      </c>
      <c r="E97" s="2281"/>
      <c r="F97" s="222"/>
      <c r="G97" s="2266"/>
      <c r="H97" s="493"/>
      <c r="I97" s="212"/>
      <c r="J97" s="549"/>
      <c r="K97" s="246"/>
      <c r="L97" s="554"/>
      <c r="M97" s="212"/>
      <c r="N97" s="1873"/>
      <c r="O97" s="2285"/>
      <c r="P97" s="2280"/>
      <c r="Q97" s="2280"/>
      <c r="R97" s="2280"/>
      <c r="S97" s="2280"/>
      <c r="T97" s="2287"/>
      <c r="U97" s="2287"/>
      <c r="V97" s="2290"/>
      <c r="W97" s="2290"/>
      <c r="X97" s="212"/>
      <c r="Y97" s="212"/>
    </row>
    <row r="98" spans="1:25">
      <c r="A98" s="2928">
        <v>4164</v>
      </c>
      <c r="B98" s="2928"/>
      <c r="C98" s="2928" t="s">
        <v>502</v>
      </c>
      <c r="D98" s="3033" t="s">
        <v>4604</v>
      </c>
      <c r="E98" s="2281" t="s">
        <v>4605</v>
      </c>
      <c r="F98" s="555"/>
      <c r="G98" s="2266"/>
      <c r="H98" s="1821"/>
      <c r="I98" s="212"/>
      <c r="J98" s="212"/>
      <c r="K98" s="807">
        <f>+K100</f>
        <v>1</v>
      </c>
      <c r="L98" s="2283">
        <f>L99+L100+L101</f>
        <v>0.99999999999999989</v>
      </c>
      <c r="M98" s="2284"/>
      <c r="N98" s="1873">
        <f t="shared" ref="N98" si="26">N99+N100+N101</f>
        <v>0</v>
      </c>
      <c r="O98" s="3274">
        <f>IF(Q98&gt;0, N98,"na")</f>
        <v>0</v>
      </c>
      <c r="P98" s="2286">
        <f>SUM(P99:P101)</f>
        <v>368526943</v>
      </c>
      <c r="Q98" s="2286">
        <f t="shared" ref="Q98:S98" si="27">SUM(Q99:Q101)</f>
        <v>368526943</v>
      </c>
      <c r="R98" s="2286">
        <f t="shared" si="27"/>
        <v>28551500</v>
      </c>
      <c r="S98" s="2286">
        <f t="shared" si="27"/>
        <v>2579000</v>
      </c>
      <c r="T98" s="2287">
        <f t="shared" si="20"/>
        <v>7.7474661058906616E-2</v>
      </c>
      <c r="U98" s="2287">
        <f t="shared" si="20"/>
        <v>9.0328003782638389E-2</v>
      </c>
      <c r="V98" s="2290"/>
      <c r="W98" s="2290"/>
      <c r="X98" s="212"/>
      <c r="Y98" s="212"/>
    </row>
    <row r="99" spans="1:25" ht="92.4">
      <c r="A99" s="2928"/>
      <c r="B99" s="2928"/>
      <c r="C99" s="2928"/>
      <c r="D99" s="3033"/>
      <c r="E99" s="464" t="s">
        <v>4606</v>
      </c>
      <c r="F99" s="2295"/>
      <c r="G99" s="2105"/>
      <c r="H99" s="2295"/>
      <c r="I99" s="464" t="s">
        <v>4607</v>
      </c>
      <c r="J99" s="464" t="s">
        <v>120</v>
      </c>
      <c r="K99" s="1849">
        <v>515</v>
      </c>
      <c r="L99" s="2288">
        <v>0.47</v>
      </c>
      <c r="M99" s="1849">
        <v>0</v>
      </c>
      <c r="N99" s="1869">
        <v>0</v>
      </c>
      <c r="O99" s="3274"/>
      <c r="P99" s="2289">
        <v>181182375</v>
      </c>
      <c r="Q99" s="2289">
        <v>181182375</v>
      </c>
      <c r="R99" s="2289">
        <v>13077500</v>
      </c>
      <c r="S99" s="1849">
        <v>0</v>
      </c>
      <c r="T99" s="2287">
        <f t="shared" si="20"/>
        <v>7.2178654242720908E-2</v>
      </c>
      <c r="U99" s="2287">
        <f t="shared" si="20"/>
        <v>0</v>
      </c>
      <c r="V99" s="2290">
        <v>45308</v>
      </c>
      <c r="W99" s="2290">
        <v>45657</v>
      </c>
      <c r="X99" s="212" t="s">
        <v>4608</v>
      </c>
      <c r="Y99" s="212" t="s">
        <v>98</v>
      </c>
    </row>
    <row r="100" spans="1:25" ht="118.8">
      <c r="A100" s="2928"/>
      <c r="B100" s="2928"/>
      <c r="C100" s="2928"/>
      <c r="D100" s="3033"/>
      <c r="E100" s="464" t="s">
        <v>4609</v>
      </c>
      <c r="F100" s="2295"/>
      <c r="G100" s="464" t="s">
        <v>4603</v>
      </c>
      <c r="H100" s="1844"/>
      <c r="I100" s="464" t="s">
        <v>4610</v>
      </c>
      <c r="J100" s="464" t="s">
        <v>4611</v>
      </c>
      <c r="K100" s="1849">
        <v>1</v>
      </c>
      <c r="L100" s="2288">
        <v>0.44</v>
      </c>
      <c r="M100" s="1849">
        <v>0</v>
      </c>
      <c r="N100" s="1869">
        <v>0</v>
      </c>
      <c r="O100" s="3274"/>
      <c r="P100" s="2289">
        <v>154450030</v>
      </c>
      <c r="Q100" s="2289">
        <v>154450030</v>
      </c>
      <c r="R100" s="2289">
        <v>15474000</v>
      </c>
      <c r="S100" s="2289">
        <v>2579000</v>
      </c>
      <c r="T100" s="2287">
        <f t="shared" si="20"/>
        <v>0.10018774356987824</v>
      </c>
      <c r="U100" s="2287">
        <f t="shared" si="20"/>
        <v>0.16666666666666666</v>
      </c>
      <c r="V100" s="2290">
        <v>45308</v>
      </c>
      <c r="W100" s="2290">
        <v>45657</v>
      </c>
      <c r="X100" s="212" t="s">
        <v>4612</v>
      </c>
      <c r="Y100" s="212" t="s">
        <v>98</v>
      </c>
    </row>
    <row r="101" spans="1:25" ht="39.6">
      <c r="A101" s="2928"/>
      <c r="B101" s="2928"/>
      <c r="C101" s="2928"/>
      <c r="D101" s="3033"/>
      <c r="E101" s="464" t="s">
        <v>4613</v>
      </c>
      <c r="F101" s="2295"/>
      <c r="G101" s="2105"/>
      <c r="H101" s="2295"/>
      <c r="I101" s="464" t="s">
        <v>4614</v>
      </c>
      <c r="J101" s="464" t="s">
        <v>2573</v>
      </c>
      <c r="K101" s="1849">
        <v>1</v>
      </c>
      <c r="L101" s="2288">
        <v>0.09</v>
      </c>
      <c r="M101" s="1849">
        <v>0</v>
      </c>
      <c r="N101" s="1869">
        <v>0</v>
      </c>
      <c r="O101" s="3274"/>
      <c r="P101" s="2289">
        <v>32894538</v>
      </c>
      <c r="Q101" s="2289">
        <v>32894538</v>
      </c>
      <c r="R101" s="1849">
        <v>0</v>
      </c>
      <c r="S101" s="1849">
        <v>0</v>
      </c>
      <c r="T101" s="2287">
        <f t="shared" si="20"/>
        <v>0</v>
      </c>
      <c r="U101" s="2287">
        <f t="shared" si="20"/>
        <v>0</v>
      </c>
      <c r="V101" s="2290"/>
      <c r="W101" s="2290"/>
      <c r="X101" s="212"/>
      <c r="Y101" s="212" t="s">
        <v>98</v>
      </c>
    </row>
    <row r="102" spans="1:25" ht="15.6">
      <c r="A102" s="2261"/>
      <c r="B102" s="2311">
        <v>54</v>
      </c>
      <c r="C102" s="1791" t="s">
        <v>114</v>
      </c>
      <c r="D102" s="1792" t="s">
        <v>4615</v>
      </c>
      <c r="E102" s="2312"/>
      <c r="F102" s="2311"/>
      <c r="G102" s="2313"/>
      <c r="H102" s="2311"/>
      <c r="I102" s="2262"/>
      <c r="J102" s="2262"/>
      <c r="K102" s="2314"/>
      <c r="L102" s="2315"/>
      <c r="M102" s="212"/>
      <c r="N102" s="1873"/>
      <c r="O102" s="2285"/>
      <c r="P102" s="2316"/>
      <c r="Q102" s="2316"/>
      <c r="R102" s="2316"/>
      <c r="S102" s="2316"/>
      <c r="T102" s="2287"/>
      <c r="U102" s="2287"/>
      <c r="V102" s="2290"/>
      <c r="W102" s="2290"/>
      <c r="X102" s="2262"/>
      <c r="Y102" s="212"/>
    </row>
    <row r="103" spans="1:25" ht="15.6">
      <c r="A103" s="2317"/>
      <c r="B103" s="2221">
        <v>5402</v>
      </c>
      <c r="C103" s="2263" t="s">
        <v>115</v>
      </c>
      <c r="D103" s="2317" t="s">
        <v>118</v>
      </c>
      <c r="E103" s="2281"/>
      <c r="F103" s="2221"/>
      <c r="G103" s="2266"/>
      <c r="H103" s="2221"/>
      <c r="I103" s="2291"/>
      <c r="J103" s="2291"/>
      <c r="K103" s="2268"/>
      <c r="L103" s="2318"/>
      <c r="M103" s="212"/>
      <c r="N103" s="1873"/>
      <c r="O103" s="2285"/>
      <c r="P103" s="2271"/>
      <c r="Q103" s="2271"/>
      <c r="R103" s="2271"/>
      <c r="S103" s="2271"/>
      <c r="T103" s="2287"/>
      <c r="U103" s="2287"/>
      <c r="V103" s="2290"/>
      <c r="W103" s="2290"/>
      <c r="X103" s="212"/>
      <c r="Y103" s="212"/>
    </row>
    <row r="104" spans="1:25" ht="15.6">
      <c r="A104" s="2317"/>
      <c r="B104" s="381">
        <v>5402001</v>
      </c>
      <c r="C104" s="214" t="s">
        <v>116</v>
      </c>
      <c r="D104" s="215" t="s">
        <v>4616</v>
      </c>
      <c r="E104" s="2281"/>
      <c r="F104" s="2221"/>
      <c r="G104" s="2266"/>
      <c r="H104" s="2221"/>
      <c r="I104" s="2291"/>
      <c r="J104" s="2291"/>
      <c r="K104" s="2268"/>
      <c r="L104" s="2318"/>
      <c r="M104" s="212"/>
      <c r="N104" s="1873"/>
      <c r="O104" s="2285"/>
      <c r="P104" s="2271"/>
      <c r="Q104" s="2271"/>
      <c r="R104" s="2271"/>
      <c r="S104" s="2271"/>
      <c r="T104" s="2287"/>
      <c r="U104" s="2287"/>
      <c r="V104" s="2290"/>
      <c r="W104" s="2290"/>
      <c r="X104" s="212"/>
      <c r="Y104" s="212"/>
    </row>
    <row r="105" spans="1:25" ht="27.6">
      <c r="A105" s="2317"/>
      <c r="B105" s="493">
        <v>54020010030</v>
      </c>
      <c r="C105" s="222" t="s">
        <v>117</v>
      </c>
      <c r="D105" s="1928" t="s">
        <v>4617</v>
      </c>
      <c r="E105" s="2281"/>
      <c r="F105" s="2221"/>
      <c r="G105" s="2266"/>
      <c r="H105" s="2221"/>
      <c r="I105" s="2291"/>
      <c r="J105" s="2291"/>
      <c r="K105" s="2268"/>
      <c r="L105" s="2318"/>
      <c r="M105" s="212"/>
      <c r="N105" s="1873"/>
      <c r="O105" s="2285"/>
      <c r="P105" s="2271"/>
      <c r="Q105" s="2271"/>
      <c r="R105" s="2271"/>
      <c r="S105" s="2271"/>
      <c r="T105" s="2287"/>
      <c r="U105" s="2287"/>
      <c r="V105" s="2290"/>
      <c r="W105" s="2290"/>
      <c r="X105" s="212"/>
      <c r="Y105" s="212"/>
    </row>
    <row r="106" spans="1:25">
      <c r="A106" s="2928">
        <v>4164</v>
      </c>
      <c r="B106" s="2928"/>
      <c r="C106" s="2928" t="s">
        <v>502</v>
      </c>
      <c r="D106" s="2927" t="s">
        <v>4618</v>
      </c>
      <c r="E106" s="2281" t="s">
        <v>4619</v>
      </c>
      <c r="F106" s="555"/>
      <c r="G106" s="2232"/>
      <c r="H106" s="1821"/>
      <c r="I106" s="212"/>
      <c r="J106" s="549"/>
      <c r="K106" s="807">
        <f>SUM(K107)</f>
        <v>1</v>
      </c>
      <c r="L106" s="2283">
        <f>L107+L108+L109</f>
        <v>1</v>
      </c>
      <c r="M106" s="2284"/>
      <c r="N106" s="1873">
        <f>N107+N108</f>
        <v>0.27</v>
      </c>
      <c r="O106" s="3274">
        <f>IF(Q106&gt;0, N106,"na")</f>
        <v>0.27</v>
      </c>
      <c r="P106" s="2286">
        <f>SUM(P107:P108)</f>
        <v>1575713005</v>
      </c>
      <c r="Q106" s="2286">
        <f t="shared" ref="Q106:S106" si="28">SUM(Q107:Q108)</f>
        <v>1575713005</v>
      </c>
      <c r="R106" s="2286">
        <f t="shared" si="28"/>
        <v>434769000</v>
      </c>
      <c r="S106" s="2286">
        <f t="shared" si="28"/>
        <v>211995000</v>
      </c>
      <c r="T106" s="2287">
        <f t="shared" si="20"/>
        <v>0.27591890059954161</v>
      </c>
      <c r="U106" s="2287">
        <f t="shared" si="20"/>
        <v>0.48760376199775052</v>
      </c>
      <c r="V106" s="2290"/>
      <c r="W106" s="2290"/>
      <c r="X106" s="212"/>
      <c r="Y106" s="212"/>
    </row>
    <row r="107" spans="1:25" ht="132">
      <c r="A107" s="2928"/>
      <c r="B107" s="2928"/>
      <c r="C107" s="2928"/>
      <c r="D107" s="2927"/>
      <c r="E107" s="464" t="s">
        <v>4620</v>
      </c>
      <c r="F107" s="2295"/>
      <c r="G107" s="464" t="s">
        <v>4617</v>
      </c>
      <c r="H107" s="1844"/>
      <c r="I107" s="464" t="s">
        <v>4621</v>
      </c>
      <c r="J107" s="464" t="s">
        <v>2811</v>
      </c>
      <c r="K107" s="1849">
        <v>1</v>
      </c>
      <c r="L107" s="2288">
        <v>0.75</v>
      </c>
      <c r="M107" s="1849">
        <v>1</v>
      </c>
      <c r="N107" s="1869">
        <v>0.24</v>
      </c>
      <c r="O107" s="3274"/>
      <c r="P107" s="2289">
        <v>1405507200</v>
      </c>
      <c r="Q107" s="2289">
        <v>1405507200</v>
      </c>
      <c r="R107" s="2289">
        <v>408529000</v>
      </c>
      <c r="S107" s="2289">
        <v>198875000</v>
      </c>
      <c r="T107" s="2287">
        <f t="shared" si="20"/>
        <v>0.29066304320603981</v>
      </c>
      <c r="U107" s="2287">
        <f t="shared" si="20"/>
        <v>0.48680754609831861</v>
      </c>
      <c r="V107" s="2290">
        <v>45310</v>
      </c>
      <c r="W107" s="2290">
        <v>45657</v>
      </c>
      <c r="X107" s="212" t="s">
        <v>4622</v>
      </c>
      <c r="Y107" s="212" t="s">
        <v>98</v>
      </c>
    </row>
    <row r="108" spans="1:25" ht="66">
      <c r="A108" s="2928"/>
      <c r="B108" s="2928"/>
      <c r="C108" s="2928"/>
      <c r="D108" s="2927"/>
      <c r="E108" s="464" t="s">
        <v>4623</v>
      </c>
      <c r="F108" s="2295"/>
      <c r="G108" s="2105"/>
      <c r="H108" s="2295"/>
      <c r="I108" s="464" t="s">
        <v>4624</v>
      </c>
      <c r="J108" s="464" t="s">
        <v>120</v>
      </c>
      <c r="K108" s="1849">
        <v>150</v>
      </c>
      <c r="L108" s="2288">
        <v>0.25</v>
      </c>
      <c r="M108" s="1849">
        <v>18</v>
      </c>
      <c r="N108" s="1869">
        <v>0.03</v>
      </c>
      <c r="O108" s="3274"/>
      <c r="P108" s="2289">
        <v>170205805</v>
      </c>
      <c r="Q108" s="2289">
        <v>170205805</v>
      </c>
      <c r="R108" s="2289">
        <v>26240000</v>
      </c>
      <c r="S108" s="2289">
        <v>13120000</v>
      </c>
      <c r="T108" s="2287">
        <f t="shared" si="20"/>
        <v>0.15416630472738577</v>
      </c>
      <c r="U108" s="2287">
        <f t="shared" si="20"/>
        <v>0.5</v>
      </c>
      <c r="V108" s="2290">
        <v>45310</v>
      </c>
      <c r="W108" s="2290">
        <v>45657</v>
      </c>
      <c r="X108" s="212" t="s">
        <v>4625</v>
      </c>
      <c r="Y108" s="212" t="s">
        <v>98</v>
      </c>
    </row>
    <row r="109" spans="1:25" ht="27.6">
      <c r="A109" s="216"/>
      <c r="B109" s="381">
        <v>5402002</v>
      </c>
      <c r="C109" s="214" t="s">
        <v>116</v>
      </c>
      <c r="D109" s="215" t="s">
        <v>590</v>
      </c>
      <c r="E109" s="2281"/>
      <c r="F109" s="381"/>
      <c r="G109" s="2266"/>
      <c r="H109" s="381"/>
      <c r="I109" s="2291"/>
      <c r="J109" s="2291"/>
      <c r="K109" s="2274"/>
      <c r="L109" s="2319"/>
      <c r="M109" s="212"/>
      <c r="N109" s="1873"/>
      <c r="O109" s="2285"/>
      <c r="P109" s="1823"/>
      <c r="Q109" s="1823"/>
      <c r="R109" s="1823"/>
      <c r="S109" s="1823"/>
      <c r="T109" s="2287"/>
      <c r="U109" s="2287"/>
      <c r="V109" s="2290"/>
      <c r="W109" s="2290"/>
      <c r="X109" s="212"/>
      <c r="Y109" s="212"/>
    </row>
    <row r="110" spans="1:25" ht="41.4">
      <c r="A110" s="222"/>
      <c r="B110" s="493">
        <v>54020020024</v>
      </c>
      <c r="C110" s="222" t="s">
        <v>117</v>
      </c>
      <c r="D110" s="1928" t="s">
        <v>4626</v>
      </c>
      <c r="E110" s="2281"/>
      <c r="F110" s="493"/>
      <c r="G110" s="2232"/>
      <c r="H110" s="493"/>
      <c r="I110" s="2291"/>
      <c r="J110" s="2291"/>
      <c r="K110" s="2227"/>
      <c r="L110" s="2227"/>
      <c r="M110" s="212"/>
      <c r="N110" s="1873"/>
      <c r="O110" s="2285"/>
      <c r="P110" s="2227"/>
      <c r="Q110" s="2227"/>
      <c r="R110" s="2227"/>
      <c r="S110" s="2227"/>
      <c r="T110" s="2287"/>
      <c r="U110" s="2287"/>
      <c r="V110" s="2290"/>
      <c r="W110" s="2290"/>
      <c r="X110" s="212"/>
      <c r="Y110" s="212"/>
    </row>
    <row r="111" spans="1:25">
      <c r="A111" s="3269">
        <v>4164</v>
      </c>
      <c r="B111" s="3269"/>
      <c r="C111" s="2928" t="s">
        <v>502</v>
      </c>
      <c r="D111" s="2927" t="s">
        <v>4627</v>
      </c>
      <c r="E111" s="2281" t="s">
        <v>4628</v>
      </c>
      <c r="F111" s="1978"/>
      <c r="G111" s="2232"/>
      <c r="H111" s="1821"/>
      <c r="I111" s="2291"/>
      <c r="J111" s="2291"/>
      <c r="K111" s="2282">
        <f>+K112</f>
        <v>1</v>
      </c>
      <c r="L111" s="2283">
        <f>L112+L113+L114</f>
        <v>1</v>
      </c>
      <c r="M111" s="2284"/>
      <c r="N111" s="1873">
        <f>N112+N113</f>
        <v>0.28000000000000003</v>
      </c>
      <c r="O111" s="3274">
        <f>IF(Q111&gt;0, N111,"na")</f>
        <v>0.28000000000000003</v>
      </c>
      <c r="P111" s="2286">
        <f>SUM(P112:P113)</f>
        <v>226607999</v>
      </c>
      <c r="Q111" s="2286">
        <f t="shared" ref="Q111:S111" si="29">SUM(Q112:Q113)</f>
        <v>226607999</v>
      </c>
      <c r="R111" s="2286">
        <f t="shared" si="29"/>
        <v>26819500</v>
      </c>
      <c r="S111" s="2286">
        <f t="shared" si="29"/>
        <v>0</v>
      </c>
      <c r="T111" s="2287">
        <f t="shared" si="20"/>
        <v>0.11835195632260095</v>
      </c>
      <c r="U111" s="2287">
        <f t="shared" si="20"/>
        <v>0</v>
      </c>
      <c r="V111" s="2290"/>
      <c r="W111" s="2290"/>
      <c r="X111" s="212"/>
      <c r="Y111" s="212"/>
    </row>
    <row r="112" spans="1:25" ht="184.8">
      <c r="A112" s="3269"/>
      <c r="B112" s="3269"/>
      <c r="C112" s="2928"/>
      <c r="D112" s="2927"/>
      <c r="E112" s="464" t="s">
        <v>4629</v>
      </c>
      <c r="F112" s="2295"/>
      <c r="G112" s="464" t="s">
        <v>4630</v>
      </c>
      <c r="H112" s="1844"/>
      <c r="I112" s="464" t="s">
        <v>4631</v>
      </c>
      <c r="J112" s="464" t="s">
        <v>4632</v>
      </c>
      <c r="K112" s="1849">
        <v>1</v>
      </c>
      <c r="L112" s="2288">
        <v>0.4</v>
      </c>
      <c r="M112" s="1849">
        <v>0</v>
      </c>
      <c r="N112" s="1869">
        <v>0.08</v>
      </c>
      <c r="O112" s="3274"/>
      <c r="P112" s="2289">
        <v>109153680</v>
      </c>
      <c r="Q112" s="2289">
        <v>109153680</v>
      </c>
      <c r="R112" s="2289">
        <v>26819500</v>
      </c>
      <c r="S112" s="1849">
        <v>0</v>
      </c>
      <c r="T112" s="2287">
        <f t="shared" si="20"/>
        <v>0.24570403856287759</v>
      </c>
      <c r="U112" s="2287">
        <f t="shared" si="20"/>
        <v>0</v>
      </c>
      <c r="V112" s="2290">
        <v>45309</v>
      </c>
      <c r="W112" s="2290">
        <v>45657</v>
      </c>
      <c r="X112" s="212" t="s">
        <v>4633</v>
      </c>
      <c r="Y112" s="212" t="s">
        <v>98</v>
      </c>
    </row>
    <row r="113" spans="1:25" ht="26.4">
      <c r="A113" s="3269"/>
      <c r="B113" s="3269"/>
      <c r="C113" s="2928"/>
      <c r="D113" s="2927"/>
      <c r="E113" s="464" t="s">
        <v>4634</v>
      </c>
      <c r="F113" s="2295"/>
      <c r="G113" s="2105"/>
      <c r="H113" s="2295"/>
      <c r="I113" s="464" t="s">
        <v>4635</v>
      </c>
      <c r="J113" s="464" t="s">
        <v>260</v>
      </c>
      <c r="K113" s="1849">
        <v>1</v>
      </c>
      <c r="L113" s="2288">
        <v>0.6</v>
      </c>
      <c r="M113" s="1849">
        <v>0</v>
      </c>
      <c r="N113" s="1869">
        <v>0.2</v>
      </c>
      <c r="O113" s="3274"/>
      <c r="P113" s="2289">
        <v>117454319</v>
      </c>
      <c r="Q113" s="2289">
        <v>117454319</v>
      </c>
      <c r="R113" s="1849">
        <v>0</v>
      </c>
      <c r="S113" s="1849">
        <v>0</v>
      </c>
      <c r="T113" s="2287">
        <f t="shared" si="20"/>
        <v>0</v>
      </c>
      <c r="U113" s="2287">
        <f t="shared" si="20"/>
        <v>0</v>
      </c>
      <c r="V113" s="2290"/>
      <c r="W113" s="2290"/>
      <c r="X113" s="212"/>
      <c r="Y113" s="212" t="s">
        <v>98</v>
      </c>
    </row>
    <row r="114" spans="1:25" ht="15.6">
      <c r="A114" s="2317"/>
      <c r="B114" s="2221">
        <v>5403</v>
      </c>
      <c r="C114" s="2263" t="s">
        <v>115</v>
      </c>
      <c r="D114" s="2317" t="s">
        <v>4636</v>
      </c>
      <c r="E114" s="2281"/>
      <c r="F114" s="2221"/>
      <c r="G114" s="2266"/>
      <c r="H114" s="2221"/>
      <c r="I114" s="2291"/>
      <c r="J114" s="2291"/>
      <c r="K114" s="2268"/>
      <c r="L114" s="2318"/>
      <c r="M114" s="212"/>
      <c r="N114" s="1873"/>
      <c r="O114" s="2285"/>
      <c r="P114" s="2271"/>
      <c r="Q114" s="2271"/>
      <c r="R114" s="2271"/>
      <c r="S114" s="2271"/>
      <c r="T114" s="2287"/>
      <c r="U114" s="2287"/>
      <c r="V114" s="2290"/>
      <c r="W114" s="2290"/>
      <c r="X114" s="212"/>
      <c r="Y114" s="212"/>
    </row>
    <row r="115" spans="1:25">
      <c r="A115" s="216"/>
      <c r="B115" s="381">
        <v>5403002</v>
      </c>
      <c r="C115" s="214" t="s">
        <v>116</v>
      </c>
      <c r="D115" s="216" t="s">
        <v>551</v>
      </c>
      <c r="E115" s="2281"/>
      <c r="F115" s="381"/>
      <c r="G115" s="2266"/>
      <c r="H115" s="381"/>
      <c r="I115" s="2291"/>
      <c r="J115" s="2291"/>
      <c r="K115" s="2274"/>
      <c r="L115" s="2319"/>
      <c r="M115" s="212"/>
      <c r="N115" s="1873"/>
      <c r="O115" s="2285"/>
      <c r="P115" s="1823"/>
      <c r="Q115" s="1823"/>
      <c r="R115" s="1823"/>
      <c r="S115" s="1823"/>
      <c r="T115" s="2287"/>
      <c r="U115" s="2287"/>
      <c r="V115" s="2290"/>
      <c r="W115" s="2290"/>
      <c r="X115" s="212"/>
      <c r="Y115" s="212"/>
    </row>
    <row r="116" spans="1:25">
      <c r="A116" s="222"/>
      <c r="B116" s="493">
        <v>54030020001</v>
      </c>
      <c r="C116" s="222" t="s">
        <v>117</v>
      </c>
      <c r="D116" s="217" t="s">
        <v>4637</v>
      </c>
      <c r="E116" s="2281"/>
      <c r="F116" s="493"/>
      <c r="G116" s="2232"/>
      <c r="H116" s="493"/>
      <c r="I116" s="2291"/>
      <c r="J116" s="2291"/>
      <c r="K116" s="2279"/>
      <c r="L116" s="2320"/>
      <c r="M116" s="212"/>
      <c r="N116" s="1873"/>
      <c r="O116" s="2285"/>
      <c r="P116" s="2280"/>
      <c r="Q116" s="2280"/>
      <c r="R116" s="2280"/>
      <c r="S116" s="2280"/>
      <c r="T116" s="2287"/>
      <c r="U116" s="2287"/>
      <c r="V116" s="2290"/>
      <c r="W116" s="2290"/>
      <c r="X116" s="212"/>
      <c r="Y116" s="212"/>
    </row>
    <row r="117" spans="1:25">
      <c r="A117" s="2928">
        <v>4164</v>
      </c>
      <c r="B117" s="3269"/>
      <c r="C117" s="3269" t="s">
        <v>502</v>
      </c>
      <c r="D117" s="2927" t="s">
        <v>4638</v>
      </c>
      <c r="E117" s="2281" t="s">
        <v>4639</v>
      </c>
      <c r="F117" s="1821"/>
      <c r="G117" s="2232"/>
      <c r="H117" s="1821"/>
      <c r="I117" s="2291"/>
      <c r="J117" s="2291"/>
      <c r="K117" s="2282">
        <f>+K118</f>
        <v>1</v>
      </c>
      <c r="L117" s="2283">
        <f>L118+L119+L120</f>
        <v>1</v>
      </c>
      <c r="M117" s="2284"/>
      <c r="N117" s="1873">
        <f>N118+N119</f>
        <v>0.15</v>
      </c>
      <c r="O117" s="3274">
        <f>IF(Q117&gt;0, N117,"na")</f>
        <v>0.15</v>
      </c>
      <c r="P117" s="2286">
        <f>P118+P119</f>
        <v>103142194</v>
      </c>
      <c r="Q117" s="2286">
        <f t="shared" ref="Q117:S117" si="30">Q118+Q119</f>
        <v>103142194</v>
      </c>
      <c r="R117" s="2286">
        <f t="shared" si="30"/>
        <v>7737000</v>
      </c>
      <c r="S117" s="2286">
        <f t="shared" si="30"/>
        <v>0</v>
      </c>
      <c r="T117" s="2287">
        <f t="shared" si="20"/>
        <v>7.5012947659422485E-2</v>
      </c>
      <c r="U117" s="2287">
        <f t="shared" si="20"/>
        <v>0</v>
      </c>
      <c r="V117" s="2290"/>
      <c r="W117" s="2290"/>
      <c r="X117" s="212"/>
      <c r="Y117" s="212"/>
    </row>
    <row r="118" spans="1:25" ht="79.2">
      <c r="A118" s="2928"/>
      <c r="B118" s="3269"/>
      <c r="C118" s="3269"/>
      <c r="D118" s="2927"/>
      <c r="E118" s="464" t="s">
        <v>4640</v>
      </c>
      <c r="F118" s="2295"/>
      <c r="G118" s="464" t="s">
        <v>4637</v>
      </c>
      <c r="H118" s="1844"/>
      <c r="I118" s="464" t="s">
        <v>4641</v>
      </c>
      <c r="J118" s="464" t="s">
        <v>4558</v>
      </c>
      <c r="K118" s="1849">
        <v>1</v>
      </c>
      <c r="L118" s="2288">
        <v>0.55000000000000004</v>
      </c>
      <c r="M118" s="1849">
        <v>0</v>
      </c>
      <c r="N118" s="1869">
        <v>0.15</v>
      </c>
      <c r="O118" s="3274"/>
      <c r="P118" s="2289">
        <v>56718200</v>
      </c>
      <c r="Q118" s="2289">
        <v>56718200</v>
      </c>
      <c r="R118" s="2289">
        <v>7737000</v>
      </c>
      <c r="S118" s="1849">
        <v>0</v>
      </c>
      <c r="T118" s="2287">
        <f t="shared" si="20"/>
        <v>0.13641124013103378</v>
      </c>
      <c r="U118" s="2287">
        <f t="shared" si="20"/>
        <v>0</v>
      </c>
      <c r="V118" s="2290">
        <v>45307</v>
      </c>
      <c r="W118" s="2290">
        <v>45657</v>
      </c>
      <c r="X118" s="212" t="s">
        <v>4642</v>
      </c>
      <c r="Y118" s="212" t="s">
        <v>98</v>
      </c>
    </row>
    <row r="119" spans="1:25" ht="66">
      <c r="A119" s="2928"/>
      <c r="B119" s="3269"/>
      <c r="C119" s="3269"/>
      <c r="D119" s="2927"/>
      <c r="E119" s="464" t="s">
        <v>4643</v>
      </c>
      <c r="F119" s="2295"/>
      <c r="G119" s="2105"/>
      <c r="H119" s="2295"/>
      <c r="I119" s="464" t="s">
        <v>4644</v>
      </c>
      <c r="J119" s="464" t="s">
        <v>2573</v>
      </c>
      <c r="K119" s="1849">
        <v>10</v>
      </c>
      <c r="L119" s="2288">
        <v>0.45</v>
      </c>
      <c r="M119" s="1849">
        <v>0</v>
      </c>
      <c r="N119" s="1869">
        <v>0</v>
      </c>
      <c r="O119" s="3274"/>
      <c r="P119" s="2289">
        <v>46423994</v>
      </c>
      <c r="Q119" s="2289">
        <v>46423994</v>
      </c>
      <c r="R119" s="1849">
        <v>0</v>
      </c>
      <c r="S119" s="1849">
        <v>0</v>
      </c>
      <c r="T119" s="2287">
        <f t="shared" si="20"/>
        <v>0</v>
      </c>
      <c r="U119" s="2287">
        <f t="shared" si="20"/>
        <v>0</v>
      </c>
      <c r="V119" s="2290"/>
      <c r="W119" s="2290"/>
      <c r="X119" s="212"/>
      <c r="Y119" s="212" t="s">
        <v>98</v>
      </c>
    </row>
    <row r="120" spans="1:25" ht="27.6">
      <c r="A120" s="223"/>
      <c r="B120" s="222">
        <v>54030020003</v>
      </c>
      <c r="C120" s="222" t="s">
        <v>117</v>
      </c>
      <c r="D120" s="217" t="s">
        <v>4645</v>
      </c>
      <c r="E120" s="2281"/>
      <c r="F120" s="224"/>
      <c r="G120" s="2266"/>
      <c r="H120" s="493"/>
      <c r="I120" s="212"/>
      <c r="J120" s="549"/>
      <c r="K120" s="2227"/>
      <c r="L120" s="554"/>
      <c r="M120" s="212"/>
      <c r="N120" s="1873"/>
      <c r="O120" s="217"/>
      <c r="P120" s="2280"/>
      <c r="Q120" s="2280"/>
      <c r="R120" s="2280"/>
      <c r="S120" s="2280"/>
      <c r="T120" s="2287"/>
      <c r="U120" s="2287"/>
      <c r="V120" s="2290"/>
      <c r="W120" s="2290"/>
      <c r="X120" s="212"/>
      <c r="Y120" s="212"/>
    </row>
    <row r="121" spans="1:25">
      <c r="A121" s="2928">
        <v>4164</v>
      </c>
      <c r="B121" s="2928"/>
      <c r="C121" s="2928" t="s">
        <v>502</v>
      </c>
      <c r="D121" s="2927" t="s">
        <v>4646</v>
      </c>
      <c r="E121" s="2281" t="s">
        <v>4647</v>
      </c>
      <c r="F121" s="555"/>
      <c r="G121" s="2232"/>
      <c r="H121" s="1821"/>
      <c r="I121" s="212"/>
      <c r="J121" s="549"/>
      <c r="K121" s="807">
        <f>SUM(K123)</f>
        <v>500</v>
      </c>
      <c r="L121" s="2283">
        <f>L122+L123+L124+L125</f>
        <v>1</v>
      </c>
      <c r="M121" s="2284"/>
      <c r="N121" s="1873">
        <f>N122+N123+N124+N125</f>
        <v>0.1094</v>
      </c>
      <c r="O121" s="3274">
        <f>IF(Q121&gt;0, N121,"na")</f>
        <v>0.1094</v>
      </c>
      <c r="P121" s="2286">
        <f>SUM(P122:P125)</f>
        <v>464666518</v>
      </c>
      <c r="Q121" s="2286">
        <f t="shared" ref="Q121:S121" si="31">SUM(Q122:Q125)</f>
        <v>464666518</v>
      </c>
      <c r="R121" s="2286">
        <f t="shared" si="31"/>
        <v>146153000</v>
      </c>
      <c r="S121" s="2286">
        <f t="shared" si="31"/>
        <v>57607000</v>
      </c>
      <c r="T121" s="2287">
        <f t="shared" si="20"/>
        <v>0.31453309919782085</v>
      </c>
      <c r="U121" s="2287">
        <f t="shared" si="20"/>
        <v>0.39415543984728335</v>
      </c>
      <c r="V121" s="2290"/>
      <c r="W121" s="2290"/>
      <c r="X121" s="212"/>
      <c r="Y121" s="212"/>
    </row>
    <row r="122" spans="1:25" ht="52.8">
      <c r="A122" s="2928"/>
      <c r="B122" s="2928"/>
      <c r="C122" s="2928"/>
      <c r="D122" s="2927"/>
      <c r="E122" s="464" t="s">
        <v>4648</v>
      </c>
      <c r="F122" s="2295"/>
      <c r="G122" s="2105"/>
      <c r="H122" s="2295"/>
      <c r="I122" s="464" t="s">
        <v>4649</v>
      </c>
      <c r="J122" s="464" t="s">
        <v>2282</v>
      </c>
      <c r="K122" s="1849">
        <v>100</v>
      </c>
      <c r="L122" s="2288">
        <v>0.43</v>
      </c>
      <c r="M122" s="1849">
        <v>19</v>
      </c>
      <c r="N122" s="1869">
        <v>8.1699999999999995E-2</v>
      </c>
      <c r="O122" s="3274"/>
      <c r="P122" s="2289">
        <v>199375040</v>
      </c>
      <c r="Q122" s="2289">
        <v>199375040</v>
      </c>
      <c r="R122" s="2289">
        <v>53607000</v>
      </c>
      <c r="S122" s="2289">
        <v>19616000</v>
      </c>
      <c r="T122" s="2287">
        <f t="shared" si="20"/>
        <v>0.26887518116610787</v>
      </c>
      <c r="U122" s="2287">
        <f t="shared" si="20"/>
        <v>0.36592236088570523</v>
      </c>
      <c r="V122" s="2290">
        <v>45309</v>
      </c>
      <c r="W122" s="2290">
        <v>45657</v>
      </c>
      <c r="X122" s="212" t="s">
        <v>4650</v>
      </c>
      <c r="Y122" s="212" t="s">
        <v>98</v>
      </c>
    </row>
    <row r="123" spans="1:25" ht="79.2">
      <c r="A123" s="2928"/>
      <c r="B123" s="2928"/>
      <c r="C123" s="2928"/>
      <c r="D123" s="2927"/>
      <c r="E123" s="464" t="s">
        <v>4651</v>
      </c>
      <c r="F123" s="2295"/>
      <c r="G123" s="2105"/>
      <c r="H123" s="2295"/>
      <c r="I123" s="464" t="s">
        <v>4652</v>
      </c>
      <c r="J123" s="464" t="s">
        <v>2452</v>
      </c>
      <c r="K123" s="1849">
        <v>500</v>
      </c>
      <c r="L123" s="2288">
        <v>0.18</v>
      </c>
      <c r="M123" s="1849">
        <v>48</v>
      </c>
      <c r="N123" s="1869">
        <v>1.7299999999999999E-2</v>
      </c>
      <c r="O123" s="3274"/>
      <c r="P123" s="2289">
        <v>81647760</v>
      </c>
      <c r="Q123" s="2289">
        <v>81647760</v>
      </c>
      <c r="R123" s="2289">
        <v>29099000</v>
      </c>
      <c r="S123" s="2289">
        <v>9596000</v>
      </c>
      <c r="T123" s="2287">
        <f t="shared" si="20"/>
        <v>0.35639679520907863</v>
      </c>
      <c r="U123" s="2287">
        <f t="shared" si="20"/>
        <v>0.32977078250111685</v>
      </c>
      <c r="V123" s="2290">
        <v>45309</v>
      </c>
      <c r="W123" s="2290">
        <v>45657</v>
      </c>
      <c r="X123" s="2245" t="s">
        <v>4653</v>
      </c>
      <c r="Y123" s="212" t="s">
        <v>98</v>
      </c>
    </row>
    <row r="124" spans="1:25" ht="79.2">
      <c r="A124" s="2928"/>
      <c r="B124" s="2928"/>
      <c r="C124" s="2928"/>
      <c r="D124" s="2927"/>
      <c r="E124" s="464" t="s">
        <v>4654</v>
      </c>
      <c r="F124" s="2295"/>
      <c r="G124" s="464" t="s">
        <v>4645</v>
      </c>
      <c r="H124" s="1844"/>
      <c r="I124" s="464" t="s">
        <v>4655</v>
      </c>
      <c r="J124" s="464" t="s">
        <v>120</v>
      </c>
      <c r="K124" s="1849">
        <v>300</v>
      </c>
      <c r="L124" s="2288">
        <v>0.12</v>
      </c>
      <c r="M124" s="1849">
        <v>26</v>
      </c>
      <c r="N124" s="1869">
        <v>1.04E-2</v>
      </c>
      <c r="O124" s="3274"/>
      <c r="P124" s="2289">
        <v>54087740</v>
      </c>
      <c r="Q124" s="2289">
        <v>54087740</v>
      </c>
      <c r="R124" s="2289">
        <v>24215000</v>
      </c>
      <c r="S124" s="2289">
        <v>8779000</v>
      </c>
      <c r="T124" s="2287">
        <f t="shared" si="20"/>
        <v>0.44769849877254991</v>
      </c>
      <c r="U124" s="2287">
        <f t="shared" si="20"/>
        <v>0.36254387776171793</v>
      </c>
      <c r="V124" s="2290">
        <v>45309</v>
      </c>
      <c r="W124" s="2290">
        <v>45657</v>
      </c>
      <c r="X124" s="212" t="s">
        <v>4656</v>
      </c>
      <c r="Y124" s="212" t="s">
        <v>98</v>
      </c>
    </row>
    <row r="125" spans="1:25" ht="39.6">
      <c r="A125" s="2928"/>
      <c r="B125" s="2928"/>
      <c r="C125" s="2928"/>
      <c r="D125" s="2927"/>
      <c r="E125" s="464" t="s">
        <v>4657</v>
      </c>
      <c r="F125" s="2295"/>
      <c r="G125" s="2105"/>
      <c r="H125" s="2295"/>
      <c r="I125" s="464" t="s">
        <v>4658</v>
      </c>
      <c r="J125" s="464" t="s">
        <v>2455</v>
      </c>
      <c r="K125" s="1849">
        <v>5</v>
      </c>
      <c r="L125" s="2288">
        <v>0.27</v>
      </c>
      <c r="M125" s="1849">
        <v>0</v>
      </c>
      <c r="N125" s="1869">
        <v>0</v>
      </c>
      <c r="O125" s="3274"/>
      <c r="P125" s="2289">
        <v>129555978</v>
      </c>
      <c r="Q125" s="2289">
        <v>129555978</v>
      </c>
      <c r="R125" s="2289">
        <v>39232000</v>
      </c>
      <c r="S125" s="2289">
        <v>19616000</v>
      </c>
      <c r="T125" s="2287">
        <f t="shared" si="20"/>
        <v>0.30281890967624819</v>
      </c>
      <c r="U125" s="2287">
        <f t="shared" si="20"/>
        <v>0.5</v>
      </c>
      <c r="V125" s="2290">
        <v>45309</v>
      </c>
      <c r="W125" s="2290">
        <v>45657</v>
      </c>
      <c r="X125" s="212" t="s">
        <v>4659</v>
      </c>
      <c r="Y125" s="212" t="s">
        <v>98</v>
      </c>
    </row>
    <row r="126" spans="1:25">
      <c r="A126" s="2928">
        <v>4164</v>
      </c>
      <c r="B126" s="2928"/>
      <c r="C126" s="2928" t="s">
        <v>502</v>
      </c>
      <c r="D126" s="2927" t="s">
        <v>4660</v>
      </c>
      <c r="E126" s="2281" t="s">
        <v>4661</v>
      </c>
      <c r="F126" s="555"/>
      <c r="G126" s="2266"/>
      <c r="H126" s="1821"/>
      <c r="I126" s="212"/>
      <c r="J126" s="212"/>
      <c r="K126" s="807">
        <f>+K127</f>
        <v>1800</v>
      </c>
      <c r="L126" s="2283">
        <f>L127+L128+L129</f>
        <v>1</v>
      </c>
      <c r="M126" s="2284"/>
      <c r="N126" s="1873">
        <f>N127+N128</f>
        <v>0</v>
      </c>
      <c r="O126" s="3274">
        <f>IF(Q126&gt;0, N126,"na")</f>
        <v>0</v>
      </c>
      <c r="P126" s="2286">
        <f>SUM(P127:P128)</f>
        <v>572353106</v>
      </c>
      <c r="Q126" s="2286">
        <f t="shared" ref="Q126:S126" si="32">SUM(Q127:Q128)</f>
        <v>572353106</v>
      </c>
      <c r="R126" s="2286">
        <f t="shared" si="32"/>
        <v>150026000</v>
      </c>
      <c r="S126" s="2286">
        <f t="shared" si="32"/>
        <v>53435000</v>
      </c>
      <c r="T126" s="2287">
        <f t="shared" si="20"/>
        <v>0.26212140447439103</v>
      </c>
      <c r="U126" s="2287">
        <f t="shared" si="20"/>
        <v>0.3561715969232</v>
      </c>
      <c r="V126" s="2290"/>
      <c r="W126" s="2290"/>
      <c r="X126" s="212"/>
      <c r="Y126" s="212"/>
    </row>
    <row r="127" spans="1:25" ht="92.4">
      <c r="A127" s="2928"/>
      <c r="B127" s="2928"/>
      <c r="C127" s="2928"/>
      <c r="D127" s="2927"/>
      <c r="E127" s="464" t="s">
        <v>4662</v>
      </c>
      <c r="F127" s="2295"/>
      <c r="G127" s="464" t="s">
        <v>4663</v>
      </c>
      <c r="H127" s="1844"/>
      <c r="I127" s="464" t="s">
        <v>4664</v>
      </c>
      <c r="J127" s="464" t="s">
        <v>120</v>
      </c>
      <c r="K127" s="1849">
        <v>1800</v>
      </c>
      <c r="L127" s="2288">
        <v>0.89</v>
      </c>
      <c r="M127" s="1849">
        <v>0</v>
      </c>
      <c r="N127" s="1869">
        <v>0</v>
      </c>
      <c r="O127" s="3274"/>
      <c r="P127" s="2289">
        <v>510571560</v>
      </c>
      <c r="Q127" s="2289">
        <v>510571560</v>
      </c>
      <c r="R127" s="2289">
        <v>142734000</v>
      </c>
      <c r="S127" s="2289">
        <v>53435000</v>
      </c>
      <c r="T127" s="2287">
        <f t="shared" si="20"/>
        <v>0.2795572867395904</v>
      </c>
      <c r="U127" s="2287">
        <f t="shared" si="20"/>
        <v>0.37436770496167698</v>
      </c>
      <c r="V127" s="2290">
        <v>45307</v>
      </c>
      <c r="W127" s="2290">
        <v>45657</v>
      </c>
      <c r="X127" s="2245" t="s">
        <v>4665</v>
      </c>
      <c r="Y127" s="212" t="s">
        <v>98</v>
      </c>
    </row>
    <row r="128" spans="1:25" ht="52.8">
      <c r="A128" s="2928"/>
      <c r="B128" s="2928"/>
      <c r="C128" s="2928"/>
      <c r="D128" s="2927"/>
      <c r="E128" s="464" t="s">
        <v>4666</v>
      </c>
      <c r="F128" s="2295"/>
      <c r="G128" s="2105"/>
      <c r="H128" s="2295"/>
      <c r="I128" s="464" t="s">
        <v>4667</v>
      </c>
      <c r="J128" s="464" t="s">
        <v>3864</v>
      </c>
      <c r="K128" s="1849">
        <v>11</v>
      </c>
      <c r="L128" s="2288">
        <v>0.11</v>
      </c>
      <c r="M128" s="1849">
        <v>0</v>
      </c>
      <c r="N128" s="1869">
        <v>0</v>
      </c>
      <c r="O128" s="3274"/>
      <c r="P128" s="2289">
        <v>61781546</v>
      </c>
      <c r="Q128" s="2289">
        <v>61781546</v>
      </c>
      <c r="R128" s="2289">
        <v>7292000</v>
      </c>
      <c r="S128" s="1849">
        <v>0</v>
      </c>
      <c r="T128" s="2287">
        <f t="shared" si="20"/>
        <v>0.11802877189250006</v>
      </c>
      <c r="U128" s="2287">
        <f t="shared" si="20"/>
        <v>0</v>
      </c>
      <c r="V128" s="2290">
        <v>45307</v>
      </c>
      <c r="W128" s="2290">
        <v>45657</v>
      </c>
      <c r="X128" s="212" t="s">
        <v>4668</v>
      </c>
      <c r="Y128" s="212" t="s">
        <v>98</v>
      </c>
    </row>
    <row r="129" spans="1:25" ht="27.6">
      <c r="A129" s="222"/>
      <c r="B129" s="493">
        <v>54030020004</v>
      </c>
      <c r="C129" s="222" t="s">
        <v>117</v>
      </c>
      <c r="D129" s="217" t="s">
        <v>4669</v>
      </c>
      <c r="E129" s="2281"/>
      <c r="F129" s="493"/>
      <c r="G129" s="2266"/>
      <c r="H129" s="493"/>
      <c r="I129" s="2291"/>
      <c r="J129" s="2291"/>
      <c r="K129" s="2279"/>
      <c r="L129" s="2320"/>
      <c r="M129" s="212"/>
      <c r="N129" s="1873"/>
      <c r="O129" s="2285"/>
      <c r="P129" s="2280"/>
      <c r="Q129" s="2280"/>
      <c r="R129" s="2280"/>
      <c r="S129" s="2280"/>
      <c r="T129" s="2287"/>
      <c r="U129" s="2287"/>
      <c r="V129" s="2290"/>
      <c r="W129" s="2290"/>
      <c r="X129" s="212"/>
      <c r="Y129" s="212"/>
    </row>
    <row r="130" spans="1:25">
      <c r="A130" s="2926">
        <v>4164</v>
      </c>
      <c r="B130" s="2928"/>
      <c r="C130" s="2926" t="s">
        <v>502</v>
      </c>
      <c r="D130" s="2927" t="s">
        <v>4670</v>
      </c>
      <c r="E130" s="2281" t="s">
        <v>4671</v>
      </c>
      <c r="F130" s="555"/>
      <c r="G130" s="2266"/>
      <c r="H130" s="1821"/>
      <c r="I130" s="212"/>
      <c r="J130" s="549"/>
      <c r="K130" s="807">
        <f>+K132</f>
        <v>8</v>
      </c>
      <c r="L130" s="2283">
        <f>L131+L132</f>
        <v>1</v>
      </c>
      <c r="M130" s="2284"/>
      <c r="N130" s="1873">
        <f>N131+N132</f>
        <v>0</v>
      </c>
      <c r="O130" s="3274">
        <f>IF(Q130&gt;0, N130,"na")</f>
        <v>0</v>
      </c>
      <c r="P130" s="2286">
        <f>P131+P132</f>
        <v>234965340</v>
      </c>
      <c r="Q130" s="2286">
        <f t="shared" ref="Q130:S130" si="33">Q131+Q132</f>
        <v>234965340</v>
      </c>
      <c r="R130" s="2286">
        <f t="shared" si="33"/>
        <v>61704000</v>
      </c>
      <c r="S130" s="2286">
        <f t="shared" si="33"/>
        <v>19616000</v>
      </c>
      <c r="T130" s="2287">
        <f t="shared" si="20"/>
        <v>0.26260894479160202</v>
      </c>
      <c r="U130" s="2287">
        <f t="shared" si="20"/>
        <v>0.31790483599118374</v>
      </c>
      <c r="V130" s="2290"/>
      <c r="W130" s="2290"/>
      <c r="X130" s="212"/>
      <c r="Y130" s="212"/>
    </row>
    <row r="131" spans="1:25" ht="79.2">
      <c r="A131" s="2926"/>
      <c r="B131" s="2928"/>
      <c r="C131" s="2926"/>
      <c r="D131" s="2927"/>
      <c r="E131" s="464" t="s">
        <v>4672</v>
      </c>
      <c r="F131" s="2295"/>
      <c r="G131" s="2105"/>
      <c r="H131" s="2295"/>
      <c r="I131" s="464" t="s">
        <v>4673</v>
      </c>
      <c r="J131" s="464" t="s">
        <v>556</v>
      </c>
      <c r="K131" s="1849">
        <v>1</v>
      </c>
      <c r="L131" s="2288">
        <v>0.87</v>
      </c>
      <c r="M131" s="1849">
        <v>0</v>
      </c>
      <c r="N131" s="1869">
        <v>0</v>
      </c>
      <c r="O131" s="3274"/>
      <c r="P131" s="2289">
        <v>203590855</v>
      </c>
      <c r="Q131" s="2289">
        <v>203590855</v>
      </c>
      <c r="R131" s="2289">
        <v>61704000</v>
      </c>
      <c r="S131" s="2289">
        <v>19616000</v>
      </c>
      <c r="T131" s="2287">
        <f t="shared" si="20"/>
        <v>0.30307844622981717</v>
      </c>
      <c r="U131" s="2287">
        <f t="shared" si="20"/>
        <v>0.31790483599118374</v>
      </c>
      <c r="V131" s="2290">
        <v>45309</v>
      </c>
      <c r="W131" s="2290">
        <v>45657</v>
      </c>
      <c r="X131" s="212" t="s">
        <v>4674</v>
      </c>
      <c r="Y131" s="212" t="s">
        <v>98</v>
      </c>
    </row>
    <row r="132" spans="1:25" ht="105.6">
      <c r="A132" s="2926"/>
      <c r="B132" s="2928"/>
      <c r="C132" s="2926"/>
      <c r="D132" s="2927"/>
      <c r="E132" s="464" t="s">
        <v>4675</v>
      </c>
      <c r="F132" s="2295"/>
      <c r="G132" s="464" t="s">
        <v>558</v>
      </c>
      <c r="H132" s="1844"/>
      <c r="I132" s="464" t="s">
        <v>4676</v>
      </c>
      <c r="J132" s="464" t="s">
        <v>4677</v>
      </c>
      <c r="K132" s="1849">
        <v>8</v>
      </c>
      <c r="L132" s="2288">
        <v>0.13</v>
      </c>
      <c r="M132" s="1849">
        <v>0</v>
      </c>
      <c r="N132" s="1869">
        <v>0</v>
      </c>
      <c r="O132" s="3274"/>
      <c r="P132" s="2289">
        <v>31374485</v>
      </c>
      <c r="Q132" s="2289">
        <v>31374485</v>
      </c>
      <c r="R132" s="1849">
        <v>0</v>
      </c>
      <c r="S132" s="1849">
        <v>0</v>
      </c>
      <c r="T132" s="2287">
        <f t="shared" si="20"/>
        <v>0</v>
      </c>
      <c r="U132" s="2287">
        <f t="shared" si="20"/>
        <v>0</v>
      </c>
      <c r="V132" s="2290"/>
      <c r="W132" s="2290"/>
      <c r="X132" s="212"/>
      <c r="Y132" s="212" t="s">
        <v>98</v>
      </c>
    </row>
    <row r="133" spans="1:25">
      <c r="A133" s="2928">
        <v>4164</v>
      </c>
      <c r="B133" s="3269"/>
      <c r="C133" s="3269" t="s">
        <v>502</v>
      </c>
      <c r="D133" s="3198" t="s">
        <v>4678</v>
      </c>
      <c r="E133" s="2281" t="s">
        <v>4679</v>
      </c>
      <c r="F133" s="1821"/>
      <c r="G133" s="2266"/>
      <c r="H133" s="1821"/>
      <c r="I133" s="2291"/>
      <c r="J133" s="2291"/>
      <c r="K133" s="2282">
        <f>+K136</f>
        <v>26</v>
      </c>
      <c r="L133" s="2283">
        <f>L134+L135+L136</f>
        <v>1</v>
      </c>
      <c r="M133" s="2284"/>
      <c r="N133" s="1873">
        <f t="shared" ref="N133" si="34">N134+N135+N136</f>
        <v>0</v>
      </c>
      <c r="O133" s="3274">
        <f>IF(Q133&gt;0, N133,"na")</f>
        <v>0</v>
      </c>
      <c r="P133" s="2286">
        <f>P134+P135+P136</f>
        <v>451664120</v>
      </c>
      <c r="Q133" s="2286">
        <f t="shared" ref="Q133:S133" si="35">Q134+Q135+Q136</f>
        <v>451664120</v>
      </c>
      <c r="R133" s="2286">
        <f t="shared" si="35"/>
        <v>51089000</v>
      </c>
      <c r="S133" s="2286">
        <f t="shared" si="35"/>
        <v>2219000</v>
      </c>
      <c r="T133" s="2287">
        <f t="shared" si="20"/>
        <v>0.11311281489439542</v>
      </c>
      <c r="U133" s="2287">
        <f t="shared" si="20"/>
        <v>4.3434007320558243E-2</v>
      </c>
      <c r="V133" s="2290"/>
      <c r="W133" s="2290"/>
      <c r="X133" s="212"/>
      <c r="Y133" s="212"/>
    </row>
    <row r="134" spans="1:25" ht="66">
      <c r="A134" s="2928"/>
      <c r="B134" s="3269"/>
      <c r="C134" s="3269"/>
      <c r="D134" s="3198"/>
      <c r="E134" s="464" t="s">
        <v>4680</v>
      </c>
      <c r="F134" s="2295"/>
      <c r="G134" s="2105"/>
      <c r="H134" s="2295"/>
      <c r="I134" s="464" t="s">
        <v>4681</v>
      </c>
      <c r="J134" s="464" t="s">
        <v>120</v>
      </c>
      <c r="K134" s="1849">
        <v>1000</v>
      </c>
      <c r="L134" s="2288">
        <v>0.4</v>
      </c>
      <c r="M134" s="1849">
        <v>0</v>
      </c>
      <c r="N134" s="1869">
        <v>0</v>
      </c>
      <c r="O134" s="3274"/>
      <c r="P134" s="2289">
        <v>279515480</v>
      </c>
      <c r="Q134" s="2289">
        <v>279515480</v>
      </c>
      <c r="R134" s="2289">
        <v>51089000</v>
      </c>
      <c r="S134" s="2289">
        <v>2219000</v>
      </c>
      <c r="T134" s="2287">
        <f t="shared" si="20"/>
        <v>0.1827769968232171</v>
      </c>
      <c r="U134" s="2287">
        <f t="shared" si="20"/>
        <v>4.3434007320558243E-2</v>
      </c>
      <c r="V134" s="2290">
        <v>45296</v>
      </c>
      <c r="W134" s="2290">
        <v>45657</v>
      </c>
      <c r="X134" s="212" t="s">
        <v>4682</v>
      </c>
      <c r="Y134" s="212" t="s">
        <v>98</v>
      </c>
    </row>
    <row r="135" spans="1:25" ht="92.4">
      <c r="A135" s="2928"/>
      <c r="B135" s="3269"/>
      <c r="C135" s="3269"/>
      <c r="D135" s="3198"/>
      <c r="E135" s="464" t="s">
        <v>4683</v>
      </c>
      <c r="F135" s="2295"/>
      <c r="G135" s="2105"/>
      <c r="H135" s="2295"/>
      <c r="I135" s="464" t="s">
        <v>4684</v>
      </c>
      <c r="J135" s="464" t="s">
        <v>2271</v>
      </c>
      <c r="K135" s="1849">
        <v>1</v>
      </c>
      <c r="L135" s="2288">
        <v>0.25</v>
      </c>
      <c r="M135" s="1849">
        <v>0</v>
      </c>
      <c r="N135" s="1869">
        <v>0</v>
      </c>
      <c r="O135" s="3274"/>
      <c r="P135" s="2289">
        <v>21703600</v>
      </c>
      <c r="Q135" s="2289">
        <v>21703600</v>
      </c>
      <c r="R135" s="1849">
        <v>0</v>
      </c>
      <c r="S135" s="1849">
        <v>0</v>
      </c>
      <c r="T135" s="2287">
        <f t="shared" si="20"/>
        <v>0</v>
      </c>
      <c r="U135" s="2287">
        <f t="shared" si="20"/>
        <v>0</v>
      </c>
      <c r="V135" s="2290"/>
      <c r="W135" s="2290"/>
      <c r="X135" s="212"/>
      <c r="Y135" s="212" t="s">
        <v>98</v>
      </c>
    </row>
    <row r="136" spans="1:25" ht="105.6">
      <c r="A136" s="2928"/>
      <c r="B136" s="3269"/>
      <c r="C136" s="3269"/>
      <c r="D136" s="3198"/>
      <c r="E136" s="464" t="s">
        <v>4685</v>
      </c>
      <c r="F136" s="2295"/>
      <c r="G136" s="464" t="s">
        <v>558</v>
      </c>
      <c r="H136" s="1844"/>
      <c r="I136" s="464" t="s">
        <v>4686</v>
      </c>
      <c r="J136" s="464" t="s">
        <v>3839</v>
      </c>
      <c r="K136" s="1849">
        <v>26</v>
      </c>
      <c r="L136" s="2288">
        <v>0.35</v>
      </c>
      <c r="M136" s="1849">
        <v>0</v>
      </c>
      <c r="N136" s="1869">
        <v>0</v>
      </c>
      <c r="O136" s="3274"/>
      <c r="P136" s="2289">
        <v>150445040</v>
      </c>
      <c r="Q136" s="2289">
        <v>150445040</v>
      </c>
      <c r="R136" s="1849">
        <v>0</v>
      </c>
      <c r="S136" s="1849">
        <v>0</v>
      </c>
      <c r="T136" s="2287">
        <f t="shared" si="20"/>
        <v>0</v>
      </c>
      <c r="U136" s="2287">
        <f t="shared" si="20"/>
        <v>0</v>
      </c>
      <c r="V136" s="2290"/>
      <c r="W136" s="2290"/>
      <c r="X136" s="212"/>
      <c r="Y136" s="212" t="s">
        <v>98</v>
      </c>
    </row>
    <row r="137" spans="1:25" ht="27.6">
      <c r="A137" s="223"/>
      <c r="B137" s="493">
        <v>54030020005</v>
      </c>
      <c r="C137" s="222" t="s">
        <v>117</v>
      </c>
      <c r="D137" s="217" t="s">
        <v>4687</v>
      </c>
      <c r="E137" s="2281"/>
      <c r="F137" s="493"/>
      <c r="G137" s="2266"/>
      <c r="H137" s="493"/>
      <c r="I137" s="2291"/>
      <c r="J137" s="2291"/>
      <c r="K137" s="2279"/>
      <c r="L137" s="2320"/>
      <c r="M137" s="212"/>
      <c r="N137" s="1873"/>
      <c r="O137" s="2285"/>
      <c r="P137" s="2280"/>
      <c r="Q137" s="2280"/>
      <c r="R137" s="2280"/>
      <c r="S137" s="2280"/>
      <c r="T137" s="2287"/>
      <c r="U137" s="2287"/>
      <c r="V137" s="2290"/>
      <c r="W137" s="2290"/>
      <c r="X137" s="212"/>
      <c r="Y137" s="212"/>
    </row>
    <row r="138" spans="1:25">
      <c r="A138" s="2928">
        <v>4164</v>
      </c>
      <c r="B138" s="3269"/>
      <c r="C138" s="3269" t="s">
        <v>502</v>
      </c>
      <c r="D138" s="2927" t="s">
        <v>4688</v>
      </c>
      <c r="E138" s="2281" t="s">
        <v>4689</v>
      </c>
      <c r="F138" s="1821"/>
      <c r="G138" s="2266"/>
      <c r="H138" s="1821"/>
      <c r="I138" s="2291"/>
      <c r="J138" s="2291"/>
      <c r="K138" s="2282">
        <f>+K139</f>
        <v>760</v>
      </c>
      <c r="L138" s="2283">
        <f>L139+L140</f>
        <v>1</v>
      </c>
      <c r="M138" s="2284"/>
      <c r="N138" s="1873">
        <f>N139+N140</f>
        <v>0.22500000000000001</v>
      </c>
      <c r="O138" s="3274">
        <f>IF(Q138&gt;0, N138,"na")</f>
        <v>0.22500000000000001</v>
      </c>
      <c r="P138" s="2286">
        <f>SUM(P139:P140)</f>
        <v>336606246</v>
      </c>
      <c r="Q138" s="2286">
        <f t="shared" ref="Q138:S138" si="36">SUM(Q139:Q140)</f>
        <v>336606246</v>
      </c>
      <c r="R138" s="2286">
        <f t="shared" si="36"/>
        <v>121123000</v>
      </c>
      <c r="S138" s="2286">
        <f t="shared" si="36"/>
        <v>59272000</v>
      </c>
      <c r="T138" s="2287">
        <f t="shared" si="20"/>
        <v>0.35983586590963024</v>
      </c>
      <c r="U138" s="2287">
        <f t="shared" si="20"/>
        <v>0.48935379737952328</v>
      </c>
      <c r="V138" s="2290"/>
      <c r="W138" s="2290"/>
      <c r="X138" s="212"/>
      <c r="Y138" s="212"/>
    </row>
    <row r="139" spans="1:25" ht="92.4">
      <c r="A139" s="2928"/>
      <c r="B139" s="3269"/>
      <c r="C139" s="3269"/>
      <c r="D139" s="2927"/>
      <c r="E139" s="464" t="s">
        <v>4690</v>
      </c>
      <c r="F139" s="2295"/>
      <c r="G139" s="464" t="s">
        <v>4687</v>
      </c>
      <c r="H139" s="1844"/>
      <c r="I139" s="464" t="s">
        <v>4691</v>
      </c>
      <c r="J139" s="464" t="s">
        <v>120</v>
      </c>
      <c r="K139" s="1849">
        <v>760</v>
      </c>
      <c r="L139" s="2288">
        <v>0.55000000000000004</v>
      </c>
      <c r="M139" s="1849">
        <v>0</v>
      </c>
      <c r="N139" s="1869">
        <v>0</v>
      </c>
      <c r="O139" s="3274"/>
      <c r="P139" s="2289">
        <v>183557671</v>
      </c>
      <c r="Q139" s="2289">
        <v>183557671</v>
      </c>
      <c r="R139" s="2289">
        <v>87079000</v>
      </c>
      <c r="S139" s="2289">
        <v>42250000</v>
      </c>
      <c r="T139" s="2287">
        <f t="shared" si="20"/>
        <v>0.47439586439294057</v>
      </c>
      <c r="U139" s="2287">
        <f t="shared" si="20"/>
        <v>0.48519160762066627</v>
      </c>
      <c r="V139" s="2290">
        <v>45309</v>
      </c>
      <c r="W139" s="2290">
        <v>45657</v>
      </c>
      <c r="X139" s="212" t="s">
        <v>4692</v>
      </c>
      <c r="Y139" s="212" t="s">
        <v>98</v>
      </c>
    </row>
    <row r="140" spans="1:25" ht="39.6">
      <c r="A140" s="2928"/>
      <c r="B140" s="3269"/>
      <c r="C140" s="3269"/>
      <c r="D140" s="2927"/>
      <c r="E140" s="464" t="s">
        <v>4693</v>
      </c>
      <c r="F140" s="2295"/>
      <c r="G140" s="2105"/>
      <c r="H140" s="2295"/>
      <c r="I140" s="464" t="s">
        <v>4694</v>
      </c>
      <c r="J140" s="464" t="s">
        <v>4695</v>
      </c>
      <c r="K140" s="1849">
        <v>1</v>
      </c>
      <c r="L140" s="2288">
        <v>0.45</v>
      </c>
      <c r="M140" s="1849">
        <v>0</v>
      </c>
      <c r="N140" s="1869">
        <v>0.22500000000000001</v>
      </c>
      <c r="O140" s="3274"/>
      <c r="P140" s="2289">
        <v>153048575</v>
      </c>
      <c r="Q140" s="2289">
        <v>153048575</v>
      </c>
      <c r="R140" s="2289">
        <v>34044000</v>
      </c>
      <c r="S140" s="2289">
        <v>17022000</v>
      </c>
      <c r="T140" s="2287">
        <f t="shared" si="20"/>
        <v>0.2224391831155566</v>
      </c>
      <c r="U140" s="2287">
        <f t="shared" si="20"/>
        <v>0.5</v>
      </c>
      <c r="V140" s="2290">
        <v>45309</v>
      </c>
      <c r="W140" s="2290">
        <v>45657</v>
      </c>
      <c r="X140" s="2245" t="s">
        <v>4696</v>
      </c>
      <c r="Y140" s="212" t="s">
        <v>98</v>
      </c>
    </row>
    <row r="141" spans="1:25">
      <c r="A141" s="223"/>
      <c r="B141" s="493">
        <v>54030020006</v>
      </c>
      <c r="C141" s="222" t="s">
        <v>117</v>
      </c>
      <c r="D141" s="217" t="s">
        <v>4697</v>
      </c>
      <c r="E141" s="2281"/>
      <c r="F141" s="493"/>
      <c r="G141" s="2266"/>
      <c r="H141" s="493"/>
      <c r="I141" s="2291"/>
      <c r="J141" s="2291"/>
      <c r="K141" s="2279"/>
      <c r="L141" s="2320"/>
      <c r="M141" s="212"/>
      <c r="N141" s="1873"/>
      <c r="O141" s="2285"/>
      <c r="P141" s="2280"/>
      <c r="Q141" s="2280"/>
      <c r="R141" s="2280"/>
      <c r="S141" s="2280"/>
      <c r="T141" s="2287"/>
      <c r="U141" s="2287"/>
      <c r="V141" s="2290"/>
      <c r="W141" s="2290"/>
      <c r="X141" s="212"/>
      <c r="Y141" s="212"/>
    </row>
    <row r="142" spans="1:25">
      <c r="A142" s="2928">
        <v>4164</v>
      </c>
      <c r="B142" s="3269"/>
      <c r="C142" s="3269" t="s">
        <v>502</v>
      </c>
      <c r="D142" s="2927" t="s">
        <v>4698</v>
      </c>
      <c r="E142" s="2281" t="s">
        <v>4699</v>
      </c>
      <c r="F142" s="1821"/>
      <c r="G142" s="2266"/>
      <c r="H142" s="1821"/>
      <c r="I142" s="2291"/>
      <c r="J142" s="2291"/>
      <c r="K142" s="2282">
        <f>+K143</f>
        <v>100</v>
      </c>
      <c r="L142" s="2283">
        <f>L143+L144+L145</f>
        <v>1</v>
      </c>
      <c r="M142" s="2284"/>
      <c r="N142" s="1873">
        <f>N143+N144</f>
        <v>0</v>
      </c>
      <c r="O142" s="3274">
        <f>IF(Q142&gt;0, N142,"na")</f>
        <v>0</v>
      </c>
      <c r="P142" s="2286">
        <f>SUM(P143:P144)</f>
        <v>258926949</v>
      </c>
      <c r="Q142" s="2286">
        <f t="shared" ref="Q142:S142" si="37">SUM(Q143:Q144)</f>
        <v>258926949</v>
      </c>
      <c r="R142" s="2286">
        <f t="shared" si="37"/>
        <v>77836000</v>
      </c>
      <c r="S142" s="2286">
        <f t="shared" si="37"/>
        <v>24411000</v>
      </c>
      <c r="T142" s="2287">
        <f t="shared" ref="T142:U149" si="38">IF(Q142=0,0,R142/Q142)</f>
        <v>0.30060988360079893</v>
      </c>
      <c r="U142" s="2287">
        <f t="shared" si="38"/>
        <v>0.31362094660568374</v>
      </c>
      <c r="V142" s="2290"/>
      <c r="W142" s="2290"/>
      <c r="X142" s="212"/>
      <c r="Y142" s="212"/>
    </row>
    <row r="143" spans="1:25" ht="66">
      <c r="A143" s="2928"/>
      <c r="B143" s="3269"/>
      <c r="C143" s="3269"/>
      <c r="D143" s="2927"/>
      <c r="E143" s="464" t="s">
        <v>4700</v>
      </c>
      <c r="F143" s="2295"/>
      <c r="G143" s="2105"/>
      <c r="H143" s="2295"/>
      <c r="I143" s="464" t="s">
        <v>4701</v>
      </c>
      <c r="J143" s="464" t="s">
        <v>120</v>
      </c>
      <c r="K143" s="1849">
        <v>100</v>
      </c>
      <c r="L143" s="2288">
        <v>0.54</v>
      </c>
      <c r="M143" s="1849">
        <v>0</v>
      </c>
      <c r="N143" s="1869">
        <v>0</v>
      </c>
      <c r="O143" s="3274"/>
      <c r="P143" s="2289">
        <v>138661629</v>
      </c>
      <c r="Q143" s="2289">
        <v>138661629</v>
      </c>
      <c r="R143" s="2289">
        <v>77836000</v>
      </c>
      <c r="S143" s="2289">
        <v>24411000</v>
      </c>
      <c r="T143" s="2287">
        <f t="shared" si="38"/>
        <v>0.56133770071315114</v>
      </c>
      <c r="U143" s="2287">
        <f t="shared" si="38"/>
        <v>0.31362094660568374</v>
      </c>
      <c r="V143" s="2290">
        <v>45310</v>
      </c>
      <c r="W143" s="2290">
        <v>45657</v>
      </c>
      <c r="X143" s="212" t="s">
        <v>4702</v>
      </c>
      <c r="Y143" s="212" t="s">
        <v>98</v>
      </c>
    </row>
    <row r="144" spans="1:25" ht="66">
      <c r="A144" s="2928"/>
      <c r="B144" s="3269"/>
      <c r="C144" s="3269"/>
      <c r="D144" s="2927"/>
      <c r="E144" s="464" t="s">
        <v>4703</v>
      </c>
      <c r="F144" s="2295"/>
      <c r="G144" s="464" t="s">
        <v>4697</v>
      </c>
      <c r="H144" s="1844"/>
      <c r="I144" s="464" t="s">
        <v>4704</v>
      </c>
      <c r="J144" s="464" t="s">
        <v>4705</v>
      </c>
      <c r="K144" s="1849">
        <v>6</v>
      </c>
      <c r="L144" s="2288">
        <v>0.46</v>
      </c>
      <c r="M144" s="1849">
        <v>0</v>
      </c>
      <c r="N144" s="1869">
        <v>0</v>
      </c>
      <c r="O144" s="3274"/>
      <c r="P144" s="2289">
        <v>120265320</v>
      </c>
      <c r="Q144" s="2289">
        <v>120265320</v>
      </c>
      <c r="R144" s="1849">
        <v>0</v>
      </c>
      <c r="S144" s="1849">
        <v>0</v>
      </c>
      <c r="T144" s="2287">
        <f t="shared" si="38"/>
        <v>0</v>
      </c>
      <c r="U144" s="2287">
        <f t="shared" si="38"/>
        <v>0</v>
      </c>
      <c r="V144" s="2290"/>
      <c r="W144" s="2290"/>
      <c r="X144" s="212"/>
      <c r="Y144" s="212" t="s">
        <v>98</v>
      </c>
    </row>
    <row r="145" spans="1:25" ht="27.6">
      <c r="A145" s="223"/>
      <c r="B145" s="493">
        <v>54030020007</v>
      </c>
      <c r="C145" s="222" t="s">
        <v>117</v>
      </c>
      <c r="D145" s="217" t="s">
        <v>4706</v>
      </c>
      <c r="E145" s="2281"/>
      <c r="F145" s="493"/>
      <c r="G145" s="2266"/>
      <c r="H145" s="493"/>
      <c r="I145" s="2291"/>
      <c r="J145" s="2291"/>
      <c r="K145" s="2279"/>
      <c r="L145" s="2320"/>
      <c r="M145" s="212"/>
      <c r="N145" s="1873"/>
      <c r="O145" s="2285"/>
      <c r="P145" s="2280"/>
      <c r="Q145" s="2280"/>
      <c r="R145" s="2280"/>
      <c r="S145" s="2280"/>
      <c r="T145" s="2287"/>
      <c r="U145" s="2287"/>
      <c r="V145" s="2290"/>
      <c r="W145" s="2290"/>
      <c r="X145" s="212"/>
      <c r="Y145" s="212"/>
    </row>
    <row r="146" spans="1:25">
      <c r="A146" s="2928">
        <v>4164</v>
      </c>
      <c r="B146" s="3269"/>
      <c r="C146" s="3269" t="s">
        <v>502</v>
      </c>
      <c r="D146" s="2927" t="s">
        <v>4707</v>
      </c>
      <c r="E146" s="2281" t="s">
        <v>4708</v>
      </c>
      <c r="F146" s="1821"/>
      <c r="G146" s="2266"/>
      <c r="H146" s="1821"/>
      <c r="I146" s="2291"/>
      <c r="J146" s="2291"/>
      <c r="K146" s="2282">
        <f>+K147</f>
        <v>1</v>
      </c>
      <c r="L146" s="2283">
        <f>L147+L148+L149</f>
        <v>1</v>
      </c>
      <c r="M146" s="2284"/>
      <c r="N146" s="1873">
        <f>N147+N148+N149</f>
        <v>0</v>
      </c>
      <c r="O146" s="3272">
        <f>IF(Q146&gt;0, N146,"na")</f>
        <v>0</v>
      </c>
      <c r="P146" s="2286">
        <f>SUM(P147:P149)</f>
        <v>232475782</v>
      </c>
      <c r="Q146" s="2286">
        <f t="shared" ref="Q146:S146" si="39">SUM(Q147:Q149)</f>
        <v>232475782</v>
      </c>
      <c r="R146" s="2286">
        <f t="shared" si="39"/>
        <v>7737000</v>
      </c>
      <c r="S146" s="2286">
        <f t="shared" si="39"/>
        <v>0</v>
      </c>
      <c r="T146" s="2287">
        <f t="shared" si="38"/>
        <v>3.3280886006440018E-2</v>
      </c>
      <c r="U146" s="2287">
        <f t="shared" si="38"/>
        <v>0</v>
      </c>
      <c r="V146" s="2290"/>
      <c r="W146" s="2290"/>
      <c r="X146" s="212"/>
      <c r="Y146" s="212"/>
    </row>
    <row r="147" spans="1:25" ht="66">
      <c r="A147" s="2928"/>
      <c r="B147" s="3269"/>
      <c r="C147" s="3269"/>
      <c r="D147" s="2927"/>
      <c r="E147" s="464" t="s">
        <v>4709</v>
      </c>
      <c r="F147" s="2295"/>
      <c r="G147" s="2105"/>
      <c r="H147" s="2295"/>
      <c r="I147" s="464" t="s">
        <v>4710</v>
      </c>
      <c r="J147" s="464" t="s">
        <v>4711</v>
      </c>
      <c r="K147" s="1849">
        <v>1</v>
      </c>
      <c r="L147" s="2288">
        <v>0.49</v>
      </c>
      <c r="M147" s="1849">
        <v>0</v>
      </c>
      <c r="N147" s="1869">
        <v>0</v>
      </c>
      <c r="O147" s="3272"/>
      <c r="P147" s="2289">
        <v>114255360</v>
      </c>
      <c r="Q147" s="2289">
        <v>114255360</v>
      </c>
      <c r="R147" s="2289">
        <v>7737000</v>
      </c>
      <c r="S147" s="1849">
        <v>0</v>
      </c>
      <c r="T147" s="2287">
        <f>IF(Q147=0,0,R147/Q147)</f>
        <v>6.771673556496606E-2</v>
      </c>
      <c r="U147" s="2287">
        <f t="shared" si="38"/>
        <v>0</v>
      </c>
      <c r="V147" s="2290">
        <v>45308</v>
      </c>
      <c r="W147" s="2290">
        <v>45657</v>
      </c>
      <c r="X147" s="212" t="s">
        <v>4712</v>
      </c>
      <c r="Y147" s="212" t="s">
        <v>98</v>
      </c>
    </row>
    <row r="148" spans="1:25" ht="79.2">
      <c r="A148" s="2928"/>
      <c r="B148" s="3269"/>
      <c r="C148" s="3269"/>
      <c r="D148" s="2927"/>
      <c r="E148" s="464" t="s">
        <v>4713</v>
      </c>
      <c r="F148" s="2295"/>
      <c r="G148" s="464" t="s">
        <v>4706</v>
      </c>
      <c r="H148" s="1844"/>
      <c r="I148" s="464" t="s">
        <v>4714</v>
      </c>
      <c r="J148" s="464" t="s">
        <v>2573</v>
      </c>
      <c r="K148" s="1849">
        <v>7</v>
      </c>
      <c r="L148" s="2288">
        <v>0.28999999999999998</v>
      </c>
      <c r="M148" s="1849">
        <v>0</v>
      </c>
      <c r="N148" s="1869">
        <v>0</v>
      </c>
      <c r="O148" s="3272"/>
      <c r="P148" s="2289">
        <v>66923122</v>
      </c>
      <c r="Q148" s="2289">
        <v>66923122</v>
      </c>
      <c r="R148" s="1849">
        <v>0</v>
      </c>
      <c r="S148" s="1849">
        <v>0</v>
      </c>
      <c r="T148" s="2287">
        <f t="shared" si="38"/>
        <v>0</v>
      </c>
      <c r="U148" s="2287">
        <f t="shared" si="38"/>
        <v>0</v>
      </c>
      <c r="V148" s="2290">
        <v>45308</v>
      </c>
      <c r="W148" s="2290">
        <v>45657</v>
      </c>
      <c r="X148" s="212"/>
      <c r="Y148" s="212" t="s">
        <v>98</v>
      </c>
    </row>
    <row r="149" spans="1:25" ht="79.2">
      <c r="A149" s="2940"/>
      <c r="B149" s="3270"/>
      <c r="C149" s="3270"/>
      <c r="D149" s="3271"/>
      <c r="E149" s="502" t="s">
        <v>4715</v>
      </c>
      <c r="F149" s="2357"/>
      <c r="G149" s="2358"/>
      <c r="H149" s="2357"/>
      <c r="I149" s="502" t="s">
        <v>4716</v>
      </c>
      <c r="J149" s="502" t="s">
        <v>4717</v>
      </c>
      <c r="K149" s="2359">
        <v>5</v>
      </c>
      <c r="L149" s="2360">
        <v>0.22</v>
      </c>
      <c r="M149" s="2359">
        <v>0</v>
      </c>
      <c r="N149" s="2365">
        <v>0</v>
      </c>
      <c r="O149" s="3273"/>
      <c r="P149" s="2361">
        <v>51297300</v>
      </c>
      <c r="Q149" s="2361">
        <v>51297300</v>
      </c>
      <c r="R149" s="2359">
        <v>0</v>
      </c>
      <c r="S149" s="2359">
        <v>0</v>
      </c>
      <c r="T149" s="2362">
        <f t="shared" si="38"/>
        <v>0</v>
      </c>
      <c r="U149" s="2362">
        <f t="shared" si="38"/>
        <v>0</v>
      </c>
      <c r="V149" s="2363">
        <v>45308</v>
      </c>
      <c r="W149" s="2363">
        <v>45657</v>
      </c>
      <c r="X149" s="605"/>
      <c r="Y149" s="605" t="s">
        <v>98</v>
      </c>
    </row>
    <row r="150" spans="1:25">
      <c r="A150" s="2321"/>
      <c r="B150" s="1883"/>
      <c r="C150" s="1883"/>
      <c r="D150" s="2322"/>
      <c r="E150" s="2323"/>
      <c r="F150" s="1883"/>
      <c r="G150" s="1883"/>
      <c r="H150" s="2324"/>
      <c r="I150" s="2322"/>
      <c r="J150" s="2322"/>
      <c r="K150" s="2325"/>
      <c r="L150" s="2326"/>
      <c r="M150" s="2327"/>
      <c r="N150" s="2328"/>
      <c r="O150" s="2329"/>
      <c r="P150" s="2330"/>
      <c r="Q150" s="610"/>
      <c r="R150" s="2331"/>
      <c r="S150" s="2331"/>
      <c r="T150" s="2331"/>
      <c r="U150" s="2331"/>
      <c r="V150" s="2331"/>
      <c r="W150" s="2332"/>
      <c r="X150" s="2333"/>
      <c r="Y150" s="2122"/>
    </row>
    <row r="151" spans="1:25">
      <c r="A151" s="2334"/>
      <c r="B151" s="2335" t="s">
        <v>50</v>
      </c>
      <c r="C151" s="2137">
        <f>COUNTIF(C7:C149,"pr")</f>
        <v>28</v>
      </c>
      <c r="D151" s="2336"/>
      <c r="E151" s="2335" t="s">
        <v>126</v>
      </c>
      <c r="F151" s="2137"/>
      <c r="G151" s="2337">
        <f>COUNTIF(O11:O149,"na")</f>
        <v>1</v>
      </c>
      <c r="H151" s="2338"/>
      <c r="I151" s="2335"/>
      <c r="J151" s="2334"/>
      <c r="K151" s="2339"/>
      <c r="L151" s="2339"/>
      <c r="M151" s="3267" t="s">
        <v>4718</v>
      </c>
      <c r="N151" s="3267"/>
      <c r="O151" s="2366">
        <f>AVERAGE(O11:O149)</f>
        <v>0.12602857142857143</v>
      </c>
      <c r="P151" s="2340">
        <f>P11+P16+P20++P27+P32+P39+P44+P48+P52+P58+P63+P67+P71+P75+P79+P85+P90+P94+P98+P106+P111+P117+P121+P130+P126+P133+P138+P142+P146</f>
        <v>11000000000</v>
      </c>
      <c r="Q151" s="2340">
        <f t="shared" ref="Q151:S151" si="40">Q11+Q16+Q20++Q27+Q32+Q39+Q44+Q48+Q52+Q58+Q63+Q67+Q71+Q75+Q79+Q85+Q90+Q94+Q98+Q106+Q111+Q117+Q121+Q130+Q126+Q133+Q138+Q142+Q146</f>
        <v>11000000000</v>
      </c>
      <c r="R151" s="2340">
        <f t="shared" si="40"/>
        <v>2232269500</v>
      </c>
      <c r="S151" s="2340">
        <f t="shared" si="40"/>
        <v>722910000</v>
      </c>
      <c r="T151" s="2341">
        <f t="shared" ref="T151" si="41">IF(Q151=0,0,R151/Q151)</f>
        <v>0.20293359090909091</v>
      </c>
      <c r="U151" s="2341">
        <f t="shared" ref="U151" si="42">IF(R151=0,0,S151/R151)</f>
        <v>0.32384530631270103</v>
      </c>
      <c r="V151" s="2342"/>
      <c r="W151" s="2342"/>
      <c r="X151" s="2333"/>
      <c r="Y151" s="422"/>
    </row>
    <row r="152" spans="1:25" ht="14.4">
      <c r="A152" s="2334"/>
      <c r="B152" s="2342"/>
      <c r="C152" s="2334"/>
      <c r="D152" s="2342"/>
      <c r="E152" s="2342"/>
      <c r="F152" s="2334"/>
      <c r="G152" s="2342"/>
      <c r="H152" s="2343"/>
      <c r="I152" s="2342"/>
      <c r="J152" s="2334"/>
      <c r="K152" s="2339"/>
      <c r="L152" s="2339"/>
      <c r="M152" s="3268" t="s">
        <v>4719</v>
      </c>
      <c r="N152" s="3268"/>
      <c r="O152" s="2137">
        <f>COUNTIF(O11:O149,0)</f>
        <v>12</v>
      </c>
      <c r="P152" s="2340">
        <v>11000000000</v>
      </c>
      <c r="Q152" s="2340">
        <v>11000000000</v>
      </c>
      <c r="R152" s="2340">
        <v>2232269500</v>
      </c>
      <c r="S152" s="2344">
        <v>722910000</v>
      </c>
      <c r="T152" s="2341"/>
      <c r="U152" s="2341"/>
      <c r="V152" s="2345"/>
      <c r="W152" s="2345"/>
      <c r="X152" s="2333"/>
      <c r="Y152" s="2122"/>
    </row>
    <row r="153" spans="1:25">
      <c r="A153" s="2334"/>
      <c r="B153" s="2342"/>
      <c r="C153" s="2334"/>
      <c r="D153" s="2342"/>
      <c r="E153" s="2342"/>
      <c r="F153" s="2334"/>
      <c r="G153" s="2342"/>
      <c r="H153" s="2334"/>
      <c r="I153" s="2342"/>
      <c r="J153" s="2334"/>
      <c r="K153" s="2339"/>
      <c r="L153" s="2339"/>
      <c r="M153" s="2339"/>
      <c r="N153" s="2346"/>
      <c r="O153" s="2334"/>
      <c r="P153" s="2344"/>
      <c r="Q153" s="2344"/>
      <c r="R153" s="2344"/>
      <c r="S153" s="2344"/>
      <c r="T153" s="2344"/>
      <c r="U153" s="2342"/>
      <c r="V153" s="2342"/>
      <c r="W153" s="2342"/>
      <c r="X153" s="2342"/>
      <c r="Y153" s="2347"/>
    </row>
  </sheetData>
  <autoFilter ref="A5:Y6" xr:uid="{00000000-0009-0000-0000-000016000000}"/>
  <mergeCells count="180">
    <mergeCell ref="A1:X1"/>
    <mergeCell ref="C5:C6"/>
    <mergeCell ref="D5:D6"/>
    <mergeCell ref="E5:E6"/>
    <mergeCell ref="N5:N6"/>
    <mergeCell ref="A2:Y2"/>
    <mergeCell ref="A3:B3"/>
    <mergeCell ref="C3:R3"/>
    <mergeCell ref="Y5:Y6"/>
    <mergeCell ref="S5:S6"/>
    <mergeCell ref="X5:X6"/>
    <mergeCell ref="B5:B6"/>
    <mergeCell ref="A5:A6"/>
    <mergeCell ref="I5:I6"/>
    <mergeCell ref="J5:J6"/>
    <mergeCell ref="T5:T6"/>
    <mergeCell ref="A11:A14"/>
    <mergeCell ref="B11:B14"/>
    <mergeCell ref="C11:C14"/>
    <mergeCell ref="D11:D14"/>
    <mergeCell ref="O11:O14"/>
    <mergeCell ref="S3:U3"/>
    <mergeCell ref="V3:W3"/>
    <mergeCell ref="U5:U6"/>
    <mergeCell ref="V5:V6"/>
    <mergeCell ref="F5:F6"/>
    <mergeCell ref="Q5:Q6"/>
    <mergeCell ref="R5:R6"/>
    <mergeCell ref="A4:Y4"/>
    <mergeCell ref="W5:W6"/>
    <mergeCell ref="O5:O6"/>
    <mergeCell ref="L5:L6"/>
    <mergeCell ref="G5:G6"/>
    <mergeCell ref="H5:H6"/>
    <mergeCell ref="P5:P6"/>
    <mergeCell ref="M5:M6"/>
    <mergeCell ref="K5:K6"/>
    <mergeCell ref="A20:A25"/>
    <mergeCell ref="B20:B25"/>
    <mergeCell ref="C20:C25"/>
    <mergeCell ref="D20:D25"/>
    <mergeCell ref="O20:O25"/>
    <mergeCell ref="A16:A18"/>
    <mergeCell ref="B16:B18"/>
    <mergeCell ref="C16:C18"/>
    <mergeCell ref="D16:D18"/>
    <mergeCell ref="O16:O18"/>
    <mergeCell ref="A32:A37"/>
    <mergeCell ref="B32:B37"/>
    <mergeCell ref="C32:C37"/>
    <mergeCell ref="D32:D37"/>
    <mergeCell ref="O32:O37"/>
    <mergeCell ref="A27:A30"/>
    <mergeCell ref="B27:B30"/>
    <mergeCell ref="C27:C30"/>
    <mergeCell ref="D27:D30"/>
    <mergeCell ref="O27:O30"/>
    <mergeCell ref="A44:A46"/>
    <mergeCell ref="B44:B46"/>
    <mergeCell ref="C44:C46"/>
    <mergeCell ref="D44:D46"/>
    <mergeCell ref="O44:O46"/>
    <mergeCell ref="A39:A42"/>
    <mergeCell ref="B39:B42"/>
    <mergeCell ref="C39:C42"/>
    <mergeCell ref="D39:D42"/>
    <mergeCell ref="O39:O42"/>
    <mergeCell ref="A52:A56"/>
    <mergeCell ref="B52:B56"/>
    <mergeCell ref="C52:C56"/>
    <mergeCell ref="D52:D56"/>
    <mergeCell ref="O52:O56"/>
    <mergeCell ref="A48:A50"/>
    <mergeCell ref="B48:B50"/>
    <mergeCell ref="C48:C50"/>
    <mergeCell ref="D48:D50"/>
    <mergeCell ref="O48:O50"/>
    <mergeCell ref="A63:A65"/>
    <mergeCell ref="B63:B65"/>
    <mergeCell ref="C63:C65"/>
    <mergeCell ref="D63:D65"/>
    <mergeCell ref="O63:O65"/>
    <mergeCell ref="A58:A61"/>
    <mergeCell ref="B58:B61"/>
    <mergeCell ref="C58:C61"/>
    <mergeCell ref="D58:D61"/>
    <mergeCell ref="O58:O61"/>
    <mergeCell ref="A71:A73"/>
    <mergeCell ref="B71:B73"/>
    <mergeCell ref="C71:C73"/>
    <mergeCell ref="D71:D73"/>
    <mergeCell ref="O71:O73"/>
    <mergeCell ref="A67:A69"/>
    <mergeCell ref="B67:B69"/>
    <mergeCell ref="C67:C69"/>
    <mergeCell ref="D67:D69"/>
    <mergeCell ref="O67:O69"/>
    <mergeCell ref="A79:A83"/>
    <mergeCell ref="B79:B83"/>
    <mergeCell ref="C79:C83"/>
    <mergeCell ref="D79:D83"/>
    <mergeCell ref="O79:O83"/>
    <mergeCell ref="A75:A77"/>
    <mergeCell ref="B75:B77"/>
    <mergeCell ref="C75:C77"/>
    <mergeCell ref="D75:D77"/>
    <mergeCell ref="O75:O77"/>
    <mergeCell ref="A90:A92"/>
    <mergeCell ref="B90:B92"/>
    <mergeCell ref="C90:C92"/>
    <mergeCell ref="D90:D92"/>
    <mergeCell ref="O90:O92"/>
    <mergeCell ref="A85:A87"/>
    <mergeCell ref="B85:B87"/>
    <mergeCell ref="C85:C87"/>
    <mergeCell ref="D85:D87"/>
    <mergeCell ref="O85:O87"/>
    <mergeCell ref="A98:A101"/>
    <mergeCell ref="B98:B101"/>
    <mergeCell ref="C98:C101"/>
    <mergeCell ref="D98:D101"/>
    <mergeCell ref="O98:O101"/>
    <mergeCell ref="A94:A96"/>
    <mergeCell ref="B94:B96"/>
    <mergeCell ref="C94:C96"/>
    <mergeCell ref="D94:D96"/>
    <mergeCell ref="O94:O96"/>
    <mergeCell ref="G95:G96"/>
    <mergeCell ref="A111:A113"/>
    <mergeCell ref="B111:B113"/>
    <mergeCell ref="C111:C113"/>
    <mergeCell ref="D111:D113"/>
    <mergeCell ref="O111:O113"/>
    <mergeCell ref="A106:A108"/>
    <mergeCell ref="B106:B108"/>
    <mergeCell ref="C106:C108"/>
    <mergeCell ref="D106:D108"/>
    <mergeCell ref="O106:O108"/>
    <mergeCell ref="A121:A125"/>
    <mergeCell ref="B121:B125"/>
    <mergeCell ref="C121:C125"/>
    <mergeCell ref="D121:D125"/>
    <mergeCell ref="O121:O125"/>
    <mergeCell ref="A117:A119"/>
    <mergeCell ref="B117:B119"/>
    <mergeCell ref="C117:C119"/>
    <mergeCell ref="D117:D119"/>
    <mergeCell ref="O117:O119"/>
    <mergeCell ref="A130:A132"/>
    <mergeCell ref="B130:B132"/>
    <mergeCell ref="C130:C132"/>
    <mergeCell ref="D130:D132"/>
    <mergeCell ref="O130:O132"/>
    <mergeCell ref="A126:A128"/>
    <mergeCell ref="B126:B128"/>
    <mergeCell ref="C126:C128"/>
    <mergeCell ref="D126:D128"/>
    <mergeCell ref="O126:O128"/>
    <mergeCell ref="A138:A140"/>
    <mergeCell ref="B138:B140"/>
    <mergeCell ref="C138:C140"/>
    <mergeCell ref="D138:D140"/>
    <mergeCell ref="O138:O140"/>
    <mergeCell ref="A133:A136"/>
    <mergeCell ref="B133:B136"/>
    <mergeCell ref="C133:C136"/>
    <mergeCell ref="D133:D136"/>
    <mergeCell ref="O133:O136"/>
    <mergeCell ref="M151:N151"/>
    <mergeCell ref="M152:N152"/>
    <mergeCell ref="A146:A149"/>
    <mergeCell ref="B146:B149"/>
    <mergeCell ref="C146:C149"/>
    <mergeCell ref="D146:D149"/>
    <mergeCell ref="O146:O149"/>
    <mergeCell ref="A142:A144"/>
    <mergeCell ref="B142:B144"/>
    <mergeCell ref="C142:C144"/>
    <mergeCell ref="D142:D144"/>
    <mergeCell ref="O142:O144"/>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152"/>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3295"/>
      <c r="B2" s="3295"/>
      <c r="C2" s="3295"/>
      <c r="D2" s="3295"/>
      <c r="E2" s="3295"/>
      <c r="F2" s="3295"/>
      <c r="G2" s="3295"/>
      <c r="H2" s="3295"/>
      <c r="I2" s="3295"/>
      <c r="J2" s="3295"/>
      <c r="K2" s="3295"/>
      <c r="L2" s="3295"/>
      <c r="M2" s="3295"/>
      <c r="N2" s="3295"/>
      <c r="O2" s="3295"/>
      <c r="P2" s="3295"/>
      <c r="Q2" s="3295"/>
      <c r="R2" s="3295"/>
      <c r="S2" s="3295"/>
      <c r="T2" s="3295"/>
      <c r="U2" s="3295"/>
      <c r="V2" s="3295"/>
      <c r="W2" s="3295"/>
      <c r="X2" s="3295"/>
      <c r="Y2" s="3295"/>
    </row>
    <row r="3" spans="1:25" s="25" customFormat="1" ht="24.9" customHeight="1">
      <c r="A3" s="2875" t="s">
        <v>269</v>
      </c>
      <c r="B3" s="2875"/>
      <c r="C3" s="2875" t="s">
        <v>283</v>
      </c>
      <c r="D3" s="2875"/>
      <c r="E3" s="2875"/>
      <c r="F3" s="2875"/>
      <c r="G3" s="2875"/>
      <c r="H3" s="2875"/>
      <c r="I3" s="2875"/>
      <c r="J3" s="2875"/>
      <c r="K3" s="2875"/>
      <c r="L3" s="2875"/>
      <c r="M3" s="2875"/>
      <c r="N3" s="2875"/>
      <c r="O3" s="2875"/>
      <c r="P3" s="2875"/>
      <c r="Q3" s="2875"/>
      <c r="R3" s="2875"/>
      <c r="S3" s="2875"/>
      <c r="T3" s="2876" t="s">
        <v>17</v>
      </c>
      <c r="U3" s="2876"/>
      <c r="V3" s="2877">
        <v>45382</v>
      </c>
      <c r="W3" s="2876"/>
      <c r="X3" s="41" t="s">
        <v>5</v>
      </c>
      <c r="Y3" s="6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row>
    <row r="5" spans="1:25" ht="53.25" customHeight="1">
      <c r="A5" s="2944" t="s">
        <v>88</v>
      </c>
      <c r="B5" s="2944" t="s">
        <v>4</v>
      </c>
      <c r="C5" s="2944" t="s">
        <v>3</v>
      </c>
      <c r="D5" s="2944" t="s">
        <v>108</v>
      </c>
      <c r="E5" s="2944" t="s">
        <v>2</v>
      </c>
      <c r="F5" s="2944" t="s">
        <v>89</v>
      </c>
      <c r="G5" s="2944" t="s">
        <v>106</v>
      </c>
      <c r="H5" s="2944" t="s">
        <v>107</v>
      </c>
      <c r="I5" s="2944" t="s">
        <v>8</v>
      </c>
      <c r="J5" s="2944" t="s">
        <v>9</v>
      </c>
      <c r="K5" s="2944" t="s">
        <v>10</v>
      </c>
      <c r="L5" s="3024" t="s">
        <v>11</v>
      </c>
      <c r="M5" s="2946" t="s">
        <v>100</v>
      </c>
      <c r="N5" s="3011" t="s">
        <v>12</v>
      </c>
      <c r="O5" s="3011" t="s">
        <v>86</v>
      </c>
      <c r="P5" s="3016" t="s">
        <v>1</v>
      </c>
      <c r="Q5" s="3011" t="s">
        <v>13</v>
      </c>
      <c r="R5" s="3011" t="s">
        <v>14</v>
      </c>
      <c r="S5" s="3011" t="s">
        <v>16</v>
      </c>
      <c r="T5" s="3011" t="s">
        <v>15</v>
      </c>
      <c r="U5" s="3011" t="s">
        <v>103</v>
      </c>
      <c r="V5" s="3016" t="s">
        <v>6</v>
      </c>
      <c r="W5" s="3016" t="s">
        <v>7</v>
      </c>
      <c r="X5" s="3011" t="s">
        <v>0</v>
      </c>
      <c r="Y5" s="3022" t="s">
        <v>90</v>
      </c>
    </row>
    <row r="6" spans="1:25" ht="42.75" customHeight="1">
      <c r="A6" s="2923"/>
      <c r="B6" s="2923"/>
      <c r="C6" s="2923"/>
      <c r="D6" s="2923"/>
      <c r="E6" s="2923"/>
      <c r="F6" s="2923"/>
      <c r="G6" s="2923"/>
      <c r="H6" s="2923"/>
      <c r="I6" s="2923"/>
      <c r="J6" s="2923"/>
      <c r="K6" s="2923"/>
      <c r="L6" s="3158"/>
      <c r="M6" s="2925"/>
      <c r="N6" s="3157"/>
      <c r="O6" s="3157"/>
      <c r="P6" s="3294"/>
      <c r="Q6" s="3157"/>
      <c r="R6" s="3157"/>
      <c r="S6" s="3157"/>
      <c r="T6" s="3157"/>
      <c r="U6" s="3157"/>
      <c r="V6" s="3294"/>
      <c r="W6" s="3294"/>
      <c r="X6" s="3157"/>
      <c r="Y6" s="3259"/>
    </row>
    <row r="7" spans="1:25" ht="15.6">
      <c r="A7" s="2389"/>
      <c r="B7" s="2374" t="s">
        <v>4720</v>
      </c>
      <c r="C7" s="830" t="s">
        <v>114</v>
      </c>
      <c r="D7" s="2196" t="s">
        <v>1351</v>
      </c>
      <c r="E7" s="2389"/>
      <c r="F7" s="2373"/>
      <c r="G7" s="2389"/>
      <c r="H7" s="2389"/>
      <c r="I7" s="2389"/>
      <c r="J7" s="2389"/>
      <c r="K7" s="2389"/>
      <c r="L7" s="2390"/>
      <c r="M7" s="2374"/>
      <c r="N7" s="2374"/>
      <c r="O7" s="2374"/>
      <c r="P7" s="2375"/>
      <c r="Q7" s="2375"/>
      <c r="R7" s="2375"/>
      <c r="S7" s="2375"/>
      <c r="T7" s="2375"/>
      <c r="U7" s="2376"/>
      <c r="V7" s="2389"/>
      <c r="W7" s="2389"/>
      <c r="X7" s="2199"/>
      <c r="Y7" s="2389"/>
    </row>
    <row r="8" spans="1:25" ht="15.6">
      <c r="A8" s="872"/>
      <c r="B8" s="858">
        <v>5101</v>
      </c>
      <c r="C8" s="837" t="s">
        <v>115</v>
      </c>
      <c r="D8" s="839" t="s">
        <v>149</v>
      </c>
      <c r="E8" s="872"/>
      <c r="F8" s="844"/>
      <c r="G8" s="872"/>
      <c r="H8" s="872"/>
      <c r="I8" s="872"/>
      <c r="J8" s="872"/>
      <c r="K8" s="872"/>
      <c r="L8" s="2391"/>
      <c r="M8" s="858"/>
      <c r="N8" s="858"/>
      <c r="O8" s="858"/>
      <c r="P8" s="2377"/>
      <c r="Q8" s="2377"/>
      <c r="R8" s="2377"/>
      <c r="S8" s="2377"/>
      <c r="T8" s="2377"/>
      <c r="U8" s="2378"/>
      <c r="V8" s="872"/>
      <c r="W8" s="872"/>
      <c r="X8" s="845"/>
      <c r="Y8" s="872"/>
    </row>
    <row r="9" spans="1:25">
      <c r="A9" s="872"/>
      <c r="B9" s="852">
        <v>5101001</v>
      </c>
      <c r="C9" s="2207" t="s">
        <v>116</v>
      </c>
      <c r="D9" s="872" t="s">
        <v>150</v>
      </c>
      <c r="E9" s="872"/>
      <c r="F9" s="844"/>
      <c r="G9" s="872"/>
      <c r="H9" s="872"/>
      <c r="I9" s="872"/>
      <c r="J9" s="872"/>
      <c r="K9" s="872"/>
      <c r="L9" s="2391"/>
      <c r="M9" s="858"/>
      <c r="N9" s="858"/>
      <c r="O9" s="858"/>
      <c r="P9" s="2377"/>
      <c r="Q9" s="2377"/>
      <c r="R9" s="2377"/>
      <c r="S9" s="2377"/>
      <c r="T9" s="2377"/>
      <c r="U9" s="2378"/>
      <c r="V9" s="872"/>
      <c r="W9" s="872"/>
      <c r="X9" s="845"/>
      <c r="Y9" s="872"/>
    </row>
    <row r="10" spans="1:25" s="46" customFormat="1">
      <c r="A10" s="846"/>
      <c r="B10" s="851">
        <v>51010010038</v>
      </c>
      <c r="C10" s="851" t="s">
        <v>117</v>
      </c>
      <c r="D10" s="846" t="s">
        <v>4721</v>
      </c>
      <c r="E10" s="846"/>
      <c r="F10" s="844"/>
      <c r="G10" s="846"/>
      <c r="H10" s="844"/>
      <c r="I10" s="846"/>
      <c r="J10" s="846"/>
      <c r="K10" s="846">
        <f t="shared" ref="K10:K11" si="0">+K11</f>
        <v>200</v>
      </c>
      <c r="L10" s="2397"/>
      <c r="M10" s="846"/>
      <c r="N10" s="846"/>
      <c r="O10" s="844"/>
      <c r="P10" s="2378"/>
      <c r="Q10" s="2378"/>
      <c r="R10" s="2378"/>
      <c r="S10" s="2378"/>
      <c r="T10" s="2378"/>
      <c r="U10" s="2378"/>
      <c r="V10" s="2398"/>
      <c r="W10" s="2398"/>
      <c r="X10" s="845"/>
      <c r="Y10" s="846"/>
    </row>
    <row r="11" spans="1:25">
      <c r="A11" s="3076">
        <v>4171</v>
      </c>
      <c r="B11" s="3287"/>
      <c r="C11" s="3251" t="s">
        <v>123</v>
      </c>
      <c r="D11" s="3066" t="s">
        <v>4722</v>
      </c>
      <c r="E11" s="858" t="s">
        <v>4723</v>
      </c>
      <c r="F11" s="844"/>
      <c r="G11" s="872"/>
      <c r="H11" s="858"/>
      <c r="I11" s="872"/>
      <c r="J11" s="872"/>
      <c r="K11" s="857">
        <f t="shared" si="0"/>
        <v>200</v>
      </c>
      <c r="L11" s="869">
        <f>+L12+L13</f>
        <v>1</v>
      </c>
      <c r="M11" s="857">
        <f>M12</f>
        <v>0</v>
      </c>
      <c r="N11" s="1211">
        <f>SUM(N12:N13)</f>
        <v>1.6E-2</v>
      </c>
      <c r="O11" s="3289">
        <f>IF(Q11&gt;0,N11,"na")</f>
        <v>1.6E-2</v>
      </c>
      <c r="P11" s="2382">
        <f t="shared" ref="P11:S11" si="1">SUM(P12:P13)</f>
        <v>500000000</v>
      </c>
      <c r="Q11" s="2382">
        <f t="shared" si="1"/>
        <v>500000000</v>
      </c>
      <c r="R11" s="2382">
        <f t="shared" si="1"/>
        <v>59570000</v>
      </c>
      <c r="S11" s="2382">
        <f t="shared" si="1"/>
        <v>25774000</v>
      </c>
      <c r="T11" s="1212">
        <f t="shared" ref="T11:T13" si="2">IF(Q11=0,0,R11/Q11)</f>
        <v>0.11914</v>
      </c>
      <c r="U11" s="1212">
        <f t="shared" ref="U11:U13" si="3">IF(R11=0,0,S11/R11)</f>
        <v>0.4326674500587544</v>
      </c>
      <c r="V11" s="2392"/>
      <c r="W11" s="2392"/>
      <c r="X11" s="845"/>
      <c r="Y11" s="3076" t="s">
        <v>4724</v>
      </c>
    </row>
    <row r="12" spans="1:25" ht="132">
      <c r="A12" s="3285"/>
      <c r="B12" s="3285"/>
      <c r="C12" s="3288"/>
      <c r="D12" s="3285"/>
      <c r="E12" s="858" t="s">
        <v>4725</v>
      </c>
      <c r="F12" s="3293"/>
      <c r="G12" s="3066" t="s">
        <v>4726</v>
      </c>
      <c r="H12" s="3076"/>
      <c r="I12" s="857" t="s">
        <v>4727</v>
      </c>
      <c r="J12" s="857" t="s">
        <v>1161</v>
      </c>
      <c r="K12" s="857">
        <v>200</v>
      </c>
      <c r="L12" s="869">
        <v>0.8</v>
      </c>
      <c r="M12" s="857">
        <v>0</v>
      </c>
      <c r="N12" s="1211">
        <v>1.6E-2</v>
      </c>
      <c r="O12" s="3290"/>
      <c r="P12" s="2382">
        <v>482100000</v>
      </c>
      <c r="Q12" s="2382">
        <v>482100000</v>
      </c>
      <c r="R12" s="2382">
        <v>59570000</v>
      </c>
      <c r="S12" s="2382">
        <v>25774000</v>
      </c>
      <c r="T12" s="1212">
        <f t="shared" si="2"/>
        <v>0.12356357602157229</v>
      </c>
      <c r="U12" s="1212">
        <f t="shared" si="3"/>
        <v>0.4326674500587544</v>
      </c>
      <c r="V12" s="2393">
        <v>45310</v>
      </c>
      <c r="W12" s="2394">
        <v>45657</v>
      </c>
      <c r="X12" s="878" t="s">
        <v>4728</v>
      </c>
      <c r="Y12" s="3285"/>
    </row>
    <row r="13" spans="1:25" ht="26.4">
      <c r="A13" s="3285"/>
      <c r="B13" s="3285"/>
      <c r="C13" s="3285"/>
      <c r="D13" s="3285"/>
      <c r="E13" s="858" t="s">
        <v>4729</v>
      </c>
      <c r="F13" s="3285"/>
      <c r="G13" s="3285"/>
      <c r="H13" s="3285"/>
      <c r="I13" s="857" t="s">
        <v>4730</v>
      </c>
      <c r="J13" s="857" t="s">
        <v>4731</v>
      </c>
      <c r="K13" s="857">
        <v>1</v>
      </c>
      <c r="L13" s="869">
        <v>0.2</v>
      </c>
      <c r="M13" s="857">
        <v>0</v>
      </c>
      <c r="N13" s="1211">
        <v>0</v>
      </c>
      <c r="O13" s="3290"/>
      <c r="P13" s="2382">
        <v>17900000</v>
      </c>
      <c r="Q13" s="2382">
        <v>17900000</v>
      </c>
      <c r="R13" s="2382">
        <v>0</v>
      </c>
      <c r="S13" s="2382">
        <v>0</v>
      </c>
      <c r="T13" s="1212">
        <f t="shared" si="2"/>
        <v>0</v>
      </c>
      <c r="U13" s="1212">
        <f t="shared" si="3"/>
        <v>0</v>
      </c>
      <c r="V13" s="2393"/>
      <c r="W13" s="2394"/>
      <c r="X13" s="878"/>
      <c r="Y13" s="3285"/>
    </row>
    <row r="14" spans="1:25" ht="15.6">
      <c r="A14" s="872"/>
      <c r="B14" s="858">
        <v>5102</v>
      </c>
      <c r="C14" s="837" t="s">
        <v>115</v>
      </c>
      <c r="D14" s="839" t="s">
        <v>2836</v>
      </c>
      <c r="E14" s="872"/>
      <c r="F14" s="844"/>
      <c r="G14" s="872"/>
      <c r="H14" s="872"/>
      <c r="I14" s="872"/>
      <c r="J14" s="872"/>
      <c r="K14" s="872"/>
      <c r="L14" s="2391"/>
      <c r="M14" s="857"/>
      <c r="N14" s="1211"/>
      <c r="O14" s="1214"/>
      <c r="P14" s="1081"/>
      <c r="Q14" s="1081"/>
      <c r="R14" s="1081"/>
      <c r="S14" s="1081"/>
      <c r="T14" s="2377"/>
      <c r="U14" s="2378"/>
      <c r="V14" s="872"/>
      <c r="W14" s="872"/>
      <c r="X14" s="878"/>
      <c r="Y14" s="872"/>
    </row>
    <row r="15" spans="1:25">
      <c r="A15" s="872"/>
      <c r="B15" s="852">
        <v>5101001</v>
      </c>
      <c r="C15" s="2207" t="s">
        <v>116</v>
      </c>
      <c r="D15" s="872" t="s">
        <v>2837</v>
      </c>
      <c r="E15" s="872"/>
      <c r="F15" s="844"/>
      <c r="G15" s="872"/>
      <c r="H15" s="872"/>
      <c r="I15" s="872"/>
      <c r="J15" s="872"/>
      <c r="K15" s="872"/>
      <c r="L15" s="2391"/>
      <c r="M15" s="857"/>
      <c r="N15" s="1211"/>
      <c r="O15" s="1214"/>
      <c r="P15" s="1081"/>
      <c r="Q15" s="1081"/>
      <c r="R15" s="1081"/>
      <c r="S15" s="1081"/>
      <c r="T15" s="2377"/>
      <c r="U15" s="2378"/>
      <c r="V15" s="872"/>
      <c r="W15" s="872"/>
      <c r="X15" s="878"/>
      <c r="Y15" s="872"/>
    </row>
    <row r="16" spans="1:25" s="46" customFormat="1" ht="27.6">
      <c r="A16" s="846"/>
      <c r="B16" s="844">
        <v>51020010007</v>
      </c>
      <c r="C16" s="844" t="s">
        <v>117</v>
      </c>
      <c r="D16" s="846" t="s">
        <v>4732</v>
      </c>
      <c r="E16" s="846"/>
      <c r="F16" s="844"/>
      <c r="G16" s="846"/>
      <c r="H16" s="851"/>
      <c r="I16" s="846"/>
      <c r="J16" s="846"/>
      <c r="K16" s="846">
        <f t="shared" ref="K16:K17" si="4">+K17</f>
        <v>2</v>
      </c>
      <c r="L16" s="2397"/>
      <c r="M16" s="846"/>
      <c r="N16" s="1248"/>
      <c r="O16" s="1176"/>
      <c r="P16" s="1258"/>
      <c r="Q16" s="1258"/>
      <c r="R16" s="1258"/>
      <c r="S16" s="1258"/>
      <c r="T16" s="2378"/>
      <c r="U16" s="2378"/>
      <c r="V16" s="846"/>
      <c r="W16" s="846"/>
      <c r="X16" s="878"/>
      <c r="Y16" s="846"/>
    </row>
    <row r="17" spans="1:25">
      <c r="A17" s="3076">
        <v>4171</v>
      </c>
      <c r="B17" s="3287"/>
      <c r="C17" s="3251" t="s">
        <v>123</v>
      </c>
      <c r="D17" s="3066" t="s">
        <v>4733</v>
      </c>
      <c r="E17" s="858" t="s">
        <v>4734</v>
      </c>
      <c r="F17" s="844"/>
      <c r="G17" s="872"/>
      <c r="H17" s="852"/>
      <c r="I17" s="872"/>
      <c r="J17" s="872"/>
      <c r="K17" s="857">
        <f t="shared" si="4"/>
        <v>2</v>
      </c>
      <c r="L17" s="869">
        <f>+L18</f>
        <v>1</v>
      </c>
      <c r="M17" s="2380">
        <f>M18</f>
        <v>0</v>
      </c>
      <c r="N17" s="1211">
        <f>SUM(N18)</f>
        <v>0</v>
      </c>
      <c r="O17" s="3289">
        <f>IF(Q17&gt;0,N17,"na")</f>
        <v>0</v>
      </c>
      <c r="P17" s="2382">
        <f t="shared" ref="P17:S17" si="5">P18</f>
        <v>4650000000</v>
      </c>
      <c r="Q17" s="2382">
        <f t="shared" si="5"/>
        <v>4650000000</v>
      </c>
      <c r="R17" s="2382">
        <f t="shared" si="5"/>
        <v>1146128900</v>
      </c>
      <c r="S17" s="2382">
        <f t="shared" si="5"/>
        <v>145553000</v>
      </c>
      <c r="T17" s="1212">
        <f t="shared" ref="T17:U18" si="6">IF(Q17=0,0,R17/Q17)</f>
        <v>0.24647933333333333</v>
      </c>
      <c r="U17" s="1212">
        <f t="shared" si="6"/>
        <v>0.12699531440137318</v>
      </c>
      <c r="V17" s="2392"/>
      <c r="W17" s="2392"/>
      <c r="X17" s="878"/>
      <c r="Y17" s="3076" t="s">
        <v>4724</v>
      </c>
    </row>
    <row r="18" spans="1:25" ht="92.4">
      <c r="A18" s="3285"/>
      <c r="B18" s="3285"/>
      <c r="C18" s="3285"/>
      <c r="D18" s="3285"/>
      <c r="E18" s="858" t="s">
        <v>4735</v>
      </c>
      <c r="F18" s="844"/>
      <c r="G18" s="857" t="s">
        <v>4736</v>
      </c>
      <c r="H18" s="852"/>
      <c r="I18" s="857" t="s">
        <v>4737</v>
      </c>
      <c r="J18" s="857" t="s">
        <v>4738</v>
      </c>
      <c r="K18" s="857">
        <v>2</v>
      </c>
      <c r="L18" s="869">
        <v>1</v>
      </c>
      <c r="M18" s="2380">
        <v>0</v>
      </c>
      <c r="N18" s="1211">
        <v>0</v>
      </c>
      <c r="O18" s="3290"/>
      <c r="P18" s="2382">
        <v>4650000000</v>
      </c>
      <c r="Q18" s="2382">
        <v>4650000000</v>
      </c>
      <c r="R18" s="2382">
        <v>1146128900</v>
      </c>
      <c r="S18" s="2382">
        <v>145553000</v>
      </c>
      <c r="T18" s="1212">
        <f t="shared" si="6"/>
        <v>0.24647933333333333</v>
      </c>
      <c r="U18" s="1212">
        <f t="shared" si="6"/>
        <v>0.12699531440137318</v>
      </c>
      <c r="V18" s="2393">
        <v>45310</v>
      </c>
      <c r="W18" s="2394">
        <v>45657</v>
      </c>
      <c r="X18" s="878" t="s">
        <v>4739</v>
      </c>
      <c r="Y18" s="3285"/>
    </row>
    <row r="19" spans="1:25" s="46" customFormat="1" ht="27.6">
      <c r="A19" s="846"/>
      <c r="B19" s="844">
        <v>51020010008</v>
      </c>
      <c r="C19" s="844" t="s">
        <v>117</v>
      </c>
      <c r="D19" s="846" t="s">
        <v>4740</v>
      </c>
      <c r="E19" s="846"/>
      <c r="F19" s="844"/>
      <c r="G19" s="846"/>
      <c r="H19" s="851"/>
      <c r="I19" s="846"/>
      <c r="J19" s="846"/>
      <c r="K19" s="846">
        <f>+K20+K23</f>
        <v>205</v>
      </c>
      <c r="L19" s="2397"/>
      <c r="M19" s="846"/>
      <c r="N19" s="1248"/>
      <c r="O19" s="1176"/>
      <c r="P19" s="1258"/>
      <c r="Q19" s="1258"/>
      <c r="R19" s="1258"/>
      <c r="S19" s="1258"/>
      <c r="T19" s="2378"/>
      <c r="U19" s="2378"/>
      <c r="V19" s="846"/>
      <c r="W19" s="846"/>
      <c r="X19" s="878"/>
      <c r="Y19" s="846"/>
    </row>
    <row r="20" spans="1:25">
      <c r="A20" s="3076">
        <v>4171</v>
      </c>
      <c r="B20" s="3287"/>
      <c r="C20" s="3251" t="s">
        <v>123</v>
      </c>
      <c r="D20" s="3066" t="s">
        <v>4741</v>
      </c>
      <c r="E20" s="858" t="s">
        <v>4742</v>
      </c>
      <c r="F20" s="844"/>
      <c r="G20" s="872"/>
      <c r="H20" s="852"/>
      <c r="I20" s="872"/>
      <c r="J20" s="872"/>
      <c r="K20" s="857">
        <f>+K22</f>
        <v>105</v>
      </c>
      <c r="L20" s="869">
        <f>+L21+L22</f>
        <v>1</v>
      </c>
      <c r="M20" s="2380">
        <f>M22</f>
        <v>0</v>
      </c>
      <c r="N20" s="1211">
        <f>SUM(N21:N22)</f>
        <v>1.4E-2</v>
      </c>
      <c r="O20" s="3289">
        <f>IF(Q20&gt;0,N20,"na")</f>
        <v>1.4E-2</v>
      </c>
      <c r="P20" s="2382">
        <f t="shared" ref="P20:S20" si="7">SUM(P21:P22)</f>
        <v>560627600</v>
      </c>
      <c r="Q20" s="2382">
        <f t="shared" si="7"/>
        <v>560627600</v>
      </c>
      <c r="R20" s="2382">
        <f t="shared" si="7"/>
        <v>70764000</v>
      </c>
      <c r="S20" s="2382">
        <f t="shared" si="7"/>
        <v>47842000</v>
      </c>
      <c r="T20" s="1212">
        <f t="shared" ref="T20:U24" si="8">IF(Q20=0,0,R20/Q20)</f>
        <v>0.12622282599001547</v>
      </c>
      <c r="U20" s="1212">
        <f t="shared" si="8"/>
        <v>0.67607823186931204</v>
      </c>
      <c r="V20" s="2392"/>
      <c r="W20" s="2392"/>
      <c r="X20" s="878"/>
      <c r="Y20" s="3076" t="s">
        <v>4724</v>
      </c>
    </row>
    <row r="21" spans="1:25" ht="105.6">
      <c r="A21" s="3285"/>
      <c r="B21" s="3285"/>
      <c r="C21" s="3288"/>
      <c r="D21" s="3285"/>
      <c r="E21" s="858" t="s">
        <v>4743</v>
      </c>
      <c r="F21" s="3293"/>
      <c r="G21" s="3076" t="s">
        <v>4744</v>
      </c>
      <c r="H21" s="3251"/>
      <c r="I21" s="857" t="s">
        <v>4745</v>
      </c>
      <c r="J21" s="857" t="s">
        <v>4746</v>
      </c>
      <c r="K21" s="857">
        <v>75</v>
      </c>
      <c r="L21" s="869">
        <v>0.28999999999999998</v>
      </c>
      <c r="M21" s="2380">
        <v>0</v>
      </c>
      <c r="N21" s="1211">
        <v>1.4E-2</v>
      </c>
      <c r="O21" s="3290"/>
      <c r="P21" s="2382">
        <v>225627600</v>
      </c>
      <c r="Q21" s="2382">
        <v>225627600</v>
      </c>
      <c r="R21" s="2382">
        <v>70764000</v>
      </c>
      <c r="S21" s="2382">
        <v>47842000</v>
      </c>
      <c r="T21" s="1212">
        <f t="shared" si="8"/>
        <v>0.31363184291283513</v>
      </c>
      <c r="U21" s="1212">
        <f t="shared" si="8"/>
        <v>0.67607823186931204</v>
      </c>
      <c r="V21" s="2393">
        <v>45310</v>
      </c>
      <c r="W21" s="2394">
        <v>45657</v>
      </c>
      <c r="X21" s="878" t="s">
        <v>4747</v>
      </c>
      <c r="Y21" s="3285"/>
    </row>
    <row r="22" spans="1:25" ht="39.6">
      <c r="A22" s="3285"/>
      <c r="B22" s="3285"/>
      <c r="C22" s="3285"/>
      <c r="D22" s="3285"/>
      <c r="E22" s="858" t="s">
        <v>4748</v>
      </c>
      <c r="F22" s="3285"/>
      <c r="G22" s="3285"/>
      <c r="H22" s="3285"/>
      <c r="I22" s="857" t="s">
        <v>4749</v>
      </c>
      <c r="J22" s="857" t="s">
        <v>4750</v>
      </c>
      <c r="K22" s="857">
        <v>105</v>
      </c>
      <c r="L22" s="869">
        <v>0.71</v>
      </c>
      <c r="M22" s="2380">
        <v>0</v>
      </c>
      <c r="N22" s="1211">
        <v>0</v>
      </c>
      <c r="O22" s="3290"/>
      <c r="P22" s="2382">
        <v>335000000</v>
      </c>
      <c r="Q22" s="2382">
        <v>335000000</v>
      </c>
      <c r="R22" s="2382">
        <v>0</v>
      </c>
      <c r="S22" s="2382">
        <v>0</v>
      </c>
      <c r="T22" s="1212">
        <f t="shared" si="8"/>
        <v>0</v>
      </c>
      <c r="U22" s="1212">
        <f t="shared" si="8"/>
        <v>0</v>
      </c>
      <c r="V22" s="2393"/>
      <c r="W22" s="2394"/>
      <c r="X22" s="878"/>
      <c r="Y22" s="3285"/>
    </row>
    <row r="23" spans="1:25">
      <c r="A23" s="3076">
        <v>4171</v>
      </c>
      <c r="B23" s="3287"/>
      <c r="C23" s="3251" t="s">
        <v>123</v>
      </c>
      <c r="D23" s="3066" t="s">
        <v>4751</v>
      </c>
      <c r="E23" s="858" t="s">
        <v>4752</v>
      </c>
      <c r="F23" s="844"/>
      <c r="G23" s="872"/>
      <c r="H23" s="852"/>
      <c r="I23" s="872"/>
      <c r="J23" s="872"/>
      <c r="K23" s="857">
        <f t="shared" ref="K23:L23" si="9">+K24</f>
        <v>100</v>
      </c>
      <c r="L23" s="869">
        <f t="shared" si="9"/>
        <v>1</v>
      </c>
      <c r="M23" s="2380">
        <f>M24</f>
        <v>0</v>
      </c>
      <c r="N23" s="1211">
        <f>SUM(N24)</f>
        <v>0</v>
      </c>
      <c r="O23" s="3289">
        <f>IF(Q23&gt;0,N23,"na")</f>
        <v>0</v>
      </c>
      <c r="P23" s="2382">
        <f t="shared" ref="P23:S23" si="10">P24</f>
        <v>788211750</v>
      </c>
      <c r="Q23" s="2382">
        <f t="shared" si="10"/>
        <v>788211750</v>
      </c>
      <c r="R23" s="2382">
        <f t="shared" si="10"/>
        <v>0</v>
      </c>
      <c r="S23" s="2382">
        <f t="shared" si="10"/>
        <v>0</v>
      </c>
      <c r="T23" s="1212">
        <f t="shared" si="8"/>
        <v>0</v>
      </c>
      <c r="U23" s="1212">
        <f t="shared" si="8"/>
        <v>0</v>
      </c>
      <c r="V23" s="2392"/>
      <c r="W23" s="2392"/>
      <c r="X23" s="878"/>
      <c r="Y23" s="3076" t="s">
        <v>4724</v>
      </c>
    </row>
    <row r="24" spans="1:25" ht="92.4">
      <c r="A24" s="3285"/>
      <c r="B24" s="3285"/>
      <c r="C24" s="3285"/>
      <c r="D24" s="3285"/>
      <c r="E24" s="858" t="s">
        <v>4753</v>
      </c>
      <c r="F24" s="844"/>
      <c r="G24" s="858" t="s">
        <v>4754</v>
      </c>
      <c r="H24" s="852"/>
      <c r="I24" s="857" t="s">
        <v>4755</v>
      </c>
      <c r="J24" s="857" t="s">
        <v>2902</v>
      </c>
      <c r="K24" s="857">
        <v>100</v>
      </c>
      <c r="L24" s="869">
        <v>1</v>
      </c>
      <c r="M24" s="2380">
        <v>0</v>
      </c>
      <c r="N24" s="1211">
        <v>0</v>
      </c>
      <c r="O24" s="3290"/>
      <c r="P24" s="2382">
        <v>788211750</v>
      </c>
      <c r="Q24" s="2382">
        <v>788211750</v>
      </c>
      <c r="R24" s="2382">
        <v>0</v>
      </c>
      <c r="S24" s="2382">
        <v>0</v>
      </c>
      <c r="T24" s="1212">
        <f t="shared" si="8"/>
        <v>0</v>
      </c>
      <c r="U24" s="1212">
        <f t="shared" si="8"/>
        <v>0</v>
      </c>
      <c r="V24" s="2393"/>
      <c r="W24" s="2394"/>
      <c r="X24" s="878"/>
      <c r="Y24" s="3285"/>
    </row>
    <row r="25" spans="1:25" s="46" customFormat="1">
      <c r="A25" s="846"/>
      <c r="B25" s="844">
        <v>51020010009</v>
      </c>
      <c r="C25" s="844" t="s">
        <v>117</v>
      </c>
      <c r="D25" s="846" t="s">
        <v>4756</v>
      </c>
      <c r="E25" s="846"/>
      <c r="F25" s="844"/>
      <c r="G25" s="846"/>
      <c r="H25" s="851"/>
      <c r="I25" s="846"/>
      <c r="J25" s="846"/>
      <c r="K25" s="846">
        <f>+K26</f>
        <v>6</v>
      </c>
      <c r="L25" s="2397"/>
      <c r="M25" s="846"/>
      <c r="N25" s="1248"/>
      <c r="O25" s="1176"/>
      <c r="P25" s="1258"/>
      <c r="Q25" s="1258"/>
      <c r="R25" s="1258"/>
      <c r="S25" s="1258"/>
      <c r="T25" s="2378"/>
      <c r="U25" s="2378"/>
      <c r="V25" s="846"/>
      <c r="W25" s="846"/>
      <c r="X25" s="878"/>
      <c r="Y25" s="846"/>
    </row>
    <row r="26" spans="1:25">
      <c r="A26" s="3076">
        <v>4171</v>
      </c>
      <c r="B26" s="3287"/>
      <c r="C26" s="3251" t="s">
        <v>123</v>
      </c>
      <c r="D26" s="3066" t="s">
        <v>4757</v>
      </c>
      <c r="E26" s="858" t="s">
        <v>4758</v>
      </c>
      <c r="F26" s="844"/>
      <c r="G26" s="872"/>
      <c r="H26" s="852"/>
      <c r="I26" s="872"/>
      <c r="J26" s="872"/>
      <c r="K26" s="857">
        <f>+K28</f>
        <v>6</v>
      </c>
      <c r="L26" s="869">
        <f>+L27+L28+L29</f>
        <v>1</v>
      </c>
      <c r="M26" s="2380">
        <f>M28</f>
        <v>0</v>
      </c>
      <c r="N26" s="1211">
        <f>SUM(N27:N28)</f>
        <v>2.5000000000000001E-2</v>
      </c>
      <c r="O26" s="3289">
        <f>IF(Q26&gt;0,N26,"na")</f>
        <v>2.5000000000000001E-2</v>
      </c>
      <c r="P26" s="2382">
        <f t="shared" ref="P26:Q26" si="11">SUM(P27:P29)</f>
        <v>439372400</v>
      </c>
      <c r="Q26" s="2382">
        <f t="shared" si="11"/>
        <v>439372400</v>
      </c>
      <c r="R26" s="2382">
        <f t="shared" ref="R26:S26" si="12">SUM(R27:R28)</f>
        <v>11095000</v>
      </c>
      <c r="S26" s="2382">
        <f t="shared" si="12"/>
        <v>2219000</v>
      </c>
      <c r="T26" s="1212">
        <f t="shared" ref="T26:U29" si="13">IF(Q26=0,0,R26/Q26)</f>
        <v>2.5251927522074669E-2</v>
      </c>
      <c r="U26" s="1212">
        <f t="shared" si="13"/>
        <v>0.2</v>
      </c>
      <c r="V26" s="2392"/>
      <c r="W26" s="2392"/>
      <c r="X26" s="878"/>
      <c r="Y26" s="3076" t="s">
        <v>4724</v>
      </c>
    </row>
    <row r="27" spans="1:25" ht="26.4">
      <c r="A27" s="3285"/>
      <c r="B27" s="3285"/>
      <c r="C27" s="3288"/>
      <c r="D27" s="3285"/>
      <c r="E27" s="858" t="s">
        <v>4759</v>
      </c>
      <c r="F27" s="3293"/>
      <c r="G27" s="3066" t="s">
        <v>4760</v>
      </c>
      <c r="H27" s="3251"/>
      <c r="I27" s="857" t="s">
        <v>4761</v>
      </c>
      <c r="J27" s="857" t="s">
        <v>2954</v>
      </c>
      <c r="K27" s="857">
        <v>6</v>
      </c>
      <c r="L27" s="869">
        <v>0.28999999999999998</v>
      </c>
      <c r="M27" s="2380">
        <v>0</v>
      </c>
      <c r="N27" s="1211">
        <v>0</v>
      </c>
      <c r="O27" s="3290"/>
      <c r="P27" s="2382">
        <v>90000000</v>
      </c>
      <c r="Q27" s="2382">
        <v>90000000</v>
      </c>
      <c r="R27" s="2382">
        <v>0</v>
      </c>
      <c r="S27" s="2382">
        <v>0</v>
      </c>
      <c r="T27" s="1212">
        <f t="shared" si="13"/>
        <v>0</v>
      </c>
      <c r="U27" s="1212">
        <f t="shared" si="13"/>
        <v>0</v>
      </c>
      <c r="V27" s="2393"/>
      <c r="W27" s="2394"/>
      <c r="X27" s="878"/>
      <c r="Y27" s="3285"/>
    </row>
    <row r="28" spans="1:25" ht="198">
      <c r="A28" s="3285"/>
      <c r="B28" s="3285"/>
      <c r="C28" s="3288"/>
      <c r="D28" s="3285"/>
      <c r="E28" s="858" t="s">
        <v>4762</v>
      </c>
      <c r="F28" s="3285"/>
      <c r="G28" s="3285"/>
      <c r="H28" s="3285"/>
      <c r="I28" s="857" t="s">
        <v>4763</v>
      </c>
      <c r="J28" s="857" t="s">
        <v>4764</v>
      </c>
      <c r="K28" s="857">
        <v>6</v>
      </c>
      <c r="L28" s="869">
        <v>0.41</v>
      </c>
      <c r="M28" s="2380">
        <v>0</v>
      </c>
      <c r="N28" s="1211">
        <v>2.5000000000000001E-2</v>
      </c>
      <c r="O28" s="3290"/>
      <c r="P28" s="2382">
        <v>271027200</v>
      </c>
      <c r="Q28" s="2382">
        <v>271027200</v>
      </c>
      <c r="R28" s="2382">
        <v>11095000</v>
      </c>
      <c r="S28" s="2382">
        <v>2219000</v>
      </c>
      <c r="T28" s="1212">
        <f t="shared" si="13"/>
        <v>4.0936850618683289E-2</v>
      </c>
      <c r="U28" s="1212">
        <f t="shared" si="13"/>
        <v>0.2</v>
      </c>
      <c r="V28" s="2393">
        <v>45310</v>
      </c>
      <c r="W28" s="2394">
        <v>45657</v>
      </c>
      <c r="X28" s="878" t="s">
        <v>4765</v>
      </c>
      <c r="Y28" s="3285"/>
    </row>
    <row r="29" spans="1:25" ht="52.8">
      <c r="A29" s="3285"/>
      <c r="B29" s="3285"/>
      <c r="C29" s="3285"/>
      <c r="D29" s="3285"/>
      <c r="E29" s="858" t="s">
        <v>4766</v>
      </c>
      <c r="F29" s="3285"/>
      <c r="G29" s="3285"/>
      <c r="H29" s="3285"/>
      <c r="I29" s="857" t="s">
        <v>4767</v>
      </c>
      <c r="J29" s="857" t="s">
        <v>4768</v>
      </c>
      <c r="K29" s="857">
        <v>2</v>
      </c>
      <c r="L29" s="869">
        <v>0.3</v>
      </c>
      <c r="M29" s="2380">
        <v>0</v>
      </c>
      <c r="N29" s="1211">
        <v>0</v>
      </c>
      <c r="O29" s="3290"/>
      <c r="P29" s="2382">
        <v>78345200</v>
      </c>
      <c r="Q29" s="2382">
        <v>78345200</v>
      </c>
      <c r="R29" s="2382">
        <v>0</v>
      </c>
      <c r="S29" s="2382">
        <v>0</v>
      </c>
      <c r="T29" s="1212">
        <f t="shared" si="13"/>
        <v>0</v>
      </c>
      <c r="U29" s="1212">
        <f t="shared" si="13"/>
        <v>0</v>
      </c>
      <c r="V29" s="2393"/>
      <c r="W29" s="2394"/>
      <c r="X29" s="878"/>
      <c r="Y29" s="3285"/>
    </row>
    <row r="30" spans="1:25">
      <c r="A30" s="872"/>
      <c r="B30" s="852">
        <v>5102002</v>
      </c>
      <c r="C30" s="2207" t="s">
        <v>116</v>
      </c>
      <c r="D30" s="872" t="s">
        <v>4769</v>
      </c>
      <c r="E30" s="872"/>
      <c r="F30" s="844"/>
      <c r="G30" s="872"/>
      <c r="H30" s="872"/>
      <c r="I30" s="872"/>
      <c r="J30" s="872"/>
      <c r="K30" s="872"/>
      <c r="L30" s="2391"/>
      <c r="M30" s="857"/>
      <c r="N30" s="1211"/>
      <c r="O30" s="1214"/>
      <c r="P30" s="1081"/>
      <c r="Q30" s="1081"/>
      <c r="R30" s="1081"/>
      <c r="S30" s="1081"/>
      <c r="T30" s="2377"/>
      <c r="U30" s="2378"/>
      <c r="V30" s="872"/>
      <c r="W30" s="872"/>
      <c r="X30" s="878"/>
      <c r="Y30" s="872"/>
    </row>
    <row r="31" spans="1:25" s="46" customFormat="1" ht="27.6">
      <c r="A31" s="846"/>
      <c r="B31" s="844">
        <v>51020020002</v>
      </c>
      <c r="C31" s="844" t="s">
        <v>117</v>
      </c>
      <c r="D31" s="846" t="s">
        <v>4770</v>
      </c>
      <c r="E31" s="846"/>
      <c r="F31" s="844"/>
      <c r="G31" s="846"/>
      <c r="H31" s="851"/>
      <c r="I31" s="846"/>
      <c r="J31" s="846"/>
      <c r="K31" s="846">
        <f>+K32</f>
        <v>50</v>
      </c>
      <c r="L31" s="2397"/>
      <c r="M31" s="846"/>
      <c r="N31" s="1248"/>
      <c r="O31" s="1176"/>
      <c r="P31" s="1258"/>
      <c r="Q31" s="1258"/>
      <c r="R31" s="1258"/>
      <c r="S31" s="1258"/>
      <c r="T31" s="2378"/>
      <c r="U31" s="2378"/>
      <c r="V31" s="846"/>
      <c r="W31" s="846"/>
      <c r="X31" s="878"/>
      <c r="Y31" s="846"/>
    </row>
    <row r="32" spans="1:25">
      <c r="A32" s="3076">
        <v>4171</v>
      </c>
      <c r="B32" s="3292"/>
      <c r="C32" s="3076" t="s">
        <v>123</v>
      </c>
      <c r="D32" s="3066" t="s">
        <v>4771</v>
      </c>
      <c r="E32" s="858" t="s">
        <v>4772</v>
      </c>
      <c r="F32" s="844"/>
      <c r="G32" s="872"/>
      <c r="H32" s="852"/>
      <c r="I32" s="872"/>
      <c r="J32" s="872"/>
      <c r="K32" s="857">
        <f>+K34</f>
        <v>50</v>
      </c>
      <c r="L32" s="869">
        <f>+L33+L34</f>
        <v>1</v>
      </c>
      <c r="M32" s="2380">
        <f>M34</f>
        <v>0</v>
      </c>
      <c r="N32" s="1211">
        <f>SUM(N33:N34)</f>
        <v>0.01</v>
      </c>
      <c r="O32" s="3289">
        <f>IF(Q32&gt;0,N32,"na")</f>
        <v>0.01</v>
      </c>
      <c r="P32" s="1081">
        <f t="shared" ref="P32:S32" si="14">SUM(P33:P34)</f>
        <v>350000000</v>
      </c>
      <c r="Q32" s="1081">
        <f t="shared" si="14"/>
        <v>350000000</v>
      </c>
      <c r="R32" s="1081">
        <f t="shared" si="14"/>
        <v>65241000</v>
      </c>
      <c r="S32" s="2382">
        <f t="shared" si="14"/>
        <v>43938000</v>
      </c>
      <c r="T32" s="1212">
        <f t="shared" ref="T32:U34" si="15">IF(Q32=0,0,R32/Q32)</f>
        <v>0.18640285714285715</v>
      </c>
      <c r="U32" s="1212">
        <f t="shared" si="15"/>
        <v>0.67347220306249134</v>
      </c>
      <c r="V32" s="2392"/>
      <c r="W32" s="2392"/>
      <c r="X32" s="878"/>
      <c r="Y32" s="3076" t="s">
        <v>4724</v>
      </c>
    </row>
    <row r="33" spans="1:25" ht="66">
      <c r="A33" s="3285"/>
      <c r="B33" s="3285"/>
      <c r="C33" s="3288"/>
      <c r="D33" s="3285"/>
      <c r="E33" s="858" t="s">
        <v>4773</v>
      </c>
      <c r="F33" s="3293"/>
      <c r="G33" s="3066" t="s">
        <v>4774</v>
      </c>
      <c r="H33" s="872"/>
      <c r="I33" s="857" t="s">
        <v>4775</v>
      </c>
      <c r="J33" s="857" t="s">
        <v>170</v>
      </c>
      <c r="K33" s="857">
        <v>1</v>
      </c>
      <c r="L33" s="869">
        <v>0.2</v>
      </c>
      <c r="M33" s="2380">
        <v>0</v>
      </c>
      <c r="N33" s="1211">
        <v>0.01</v>
      </c>
      <c r="O33" s="3290"/>
      <c r="P33" s="1081">
        <v>225627600</v>
      </c>
      <c r="Q33" s="1081">
        <v>225627600</v>
      </c>
      <c r="R33" s="1081">
        <v>65241000</v>
      </c>
      <c r="S33" s="2382">
        <v>43938000</v>
      </c>
      <c r="T33" s="1212">
        <f t="shared" si="15"/>
        <v>0.28915345463055053</v>
      </c>
      <c r="U33" s="1212">
        <f t="shared" si="15"/>
        <v>0.67347220306249134</v>
      </c>
      <c r="V33" s="2393">
        <v>45310</v>
      </c>
      <c r="W33" s="2394">
        <v>45657</v>
      </c>
      <c r="X33" s="878" t="s">
        <v>4776</v>
      </c>
      <c r="Y33" s="3285"/>
    </row>
    <row r="34" spans="1:25" ht="39.6">
      <c r="A34" s="3285"/>
      <c r="B34" s="3285"/>
      <c r="C34" s="3285"/>
      <c r="D34" s="3285"/>
      <c r="E34" s="858" t="s">
        <v>4777</v>
      </c>
      <c r="F34" s="3285"/>
      <c r="G34" s="3285"/>
      <c r="H34" s="852"/>
      <c r="I34" s="857" t="s">
        <v>4778</v>
      </c>
      <c r="J34" s="857" t="s">
        <v>4750</v>
      </c>
      <c r="K34" s="857">
        <v>50</v>
      </c>
      <c r="L34" s="869">
        <v>0.8</v>
      </c>
      <c r="M34" s="2380">
        <v>0</v>
      </c>
      <c r="N34" s="1211">
        <v>0</v>
      </c>
      <c r="O34" s="3290"/>
      <c r="P34" s="1081">
        <v>124372400</v>
      </c>
      <c r="Q34" s="1081">
        <v>124372400</v>
      </c>
      <c r="R34" s="1081">
        <v>0</v>
      </c>
      <c r="S34" s="2382">
        <v>0</v>
      </c>
      <c r="T34" s="1212">
        <f t="shared" si="15"/>
        <v>0</v>
      </c>
      <c r="U34" s="1212">
        <f t="shared" si="15"/>
        <v>0</v>
      </c>
      <c r="V34" s="2393"/>
      <c r="W34" s="2394"/>
      <c r="X34" s="878"/>
      <c r="Y34" s="3285"/>
    </row>
    <row r="35" spans="1:25" ht="15.6">
      <c r="A35" s="872"/>
      <c r="B35" s="852">
        <v>5103</v>
      </c>
      <c r="C35" s="2205" t="s">
        <v>115</v>
      </c>
      <c r="D35" s="839" t="s">
        <v>2858</v>
      </c>
      <c r="E35" s="872"/>
      <c r="F35" s="844"/>
      <c r="G35" s="872"/>
      <c r="H35" s="872"/>
      <c r="I35" s="872"/>
      <c r="J35" s="872"/>
      <c r="K35" s="872"/>
      <c r="L35" s="2391"/>
      <c r="M35" s="857"/>
      <c r="N35" s="1211"/>
      <c r="O35" s="1214"/>
      <c r="P35" s="1081"/>
      <c r="Q35" s="1081"/>
      <c r="R35" s="1081"/>
      <c r="S35" s="1081"/>
      <c r="T35" s="2377"/>
      <c r="U35" s="2378"/>
      <c r="V35" s="872"/>
      <c r="W35" s="872"/>
      <c r="X35" s="878"/>
      <c r="Y35" s="872"/>
    </row>
    <row r="36" spans="1:25">
      <c r="A36" s="872"/>
      <c r="B36" s="858">
        <v>5103001</v>
      </c>
      <c r="C36" s="873" t="s">
        <v>116</v>
      </c>
      <c r="D36" s="872" t="s">
        <v>2859</v>
      </c>
      <c r="E36" s="872"/>
      <c r="F36" s="844"/>
      <c r="G36" s="872"/>
      <c r="H36" s="872"/>
      <c r="I36" s="872"/>
      <c r="J36" s="872"/>
      <c r="K36" s="872"/>
      <c r="L36" s="2391"/>
      <c r="M36" s="857"/>
      <c r="N36" s="1211"/>
      <c r="O36" s="1214"/>
      <c r="P36" s="1081"/>
      <c r="Q36" s="1081"/>
      <c r="R36" s="1081"/>
      <c r="S36" s="1081"/>
      <c r="T36" s="2377"/>
      <c r="U36" s="2378"/>
      <c r="V36" s="872"/>
      <c r="W36" s="872"/>
      <c r="X36" s="878"/>
      <c r="Y36" s="872"/>
    </row>
    <row r="37" spans="1:25" s="46" customFormat="1" ht="27.6">
      <c r="A37" s="846"/>
      <c r="B37" s="844">
        <v>51030010003</v>
      </c>
      <c r="C37" s="844" t="s">
        <v>117</v>
      </c>
      <c r="D37" s="846" t="s">
        <v>4779</v>
      </c>
      <c r="E37" s="846"/>
      <c r="F37" s="844"/>
      <c r="G37" s="846"/>
      <c r="H37" s="851"/>
      <c r="I37" s="846"/>
      <c r="J37" s="846"/>
      <c r="K37" s="846">
        <f t="shared" ref="K37:K38" si="16">+K38</f>
        <v>1</v>
      </c>
      <c r="L37" s="2397"/>
      <c r="M37" s="846"/>
      <c r="N37" s="1248"/>
      <c r="O37" s="1176"/>
      <c r="P37" s="1258"/>
      <c r="Q37" s="1258"/>
      <c r="R37" s="1258"/>
      <c r="S37" s="1258"/>
      <c r="T37" s="2378"/>
      <c r="U37" s="2378"/>
      <c r="V37" s="846"/>
      <c r="W37" s="846"/>
      <c r="X37" s="878"/>
      <c r="Y37" s="846"/>
    </row>
    <row r="38" spans="1:25">
      <c r="A38" s="3076">
        <v>4171</v>
      </c>
      <c r="B38" s="3287"/>
      <c r="C38" s="3251" t="s">
        <v>123</v>
      </c>
      <c r="D38" s="3066" t="s">
        <v>4780</v>
      </c>
      <c r="E38" s="858" t="s">
        <v>4781</v>
      </c>
      <c r="F38" s="844"/>
      <c r="G38" s="872"/>
      <c r="H38" s="852"/>
      <c r="I38" s="872"/>
      <c r="J38" s="872"/>
      <c r="K38" s="857">
        <f t="shared" si="16"/>
        <v>1</v>
      </c>
      <c r="L38" s="869">
        <f>+L39</f>
        <v>1</v>
      </c>
      <c r="M38" s="2380">
        <f>M39</f>
        <v>0</v>
      </c>
      <c r="N38" s="1211">
        <f>SUM(N39)</f>
        <v>0</v>
      </c>
      <c r="O38" s="3289">
        <f>IF(Q38&gt;0,N38,"na")</f>
        <v>0</v>
      </c>
      <c r="P38" s="2382">
        <f t="shared" ref="P38:S38" si="17">P39</f>
        <v>750000000</v>
      </c>
      <c r="Q38" s="2382">
        <f t="shared" si="17"/>
        <v>750000000</v>
      </c>
      <c r="R38" s="2382">
        <f t="shared" si="17"/>
        <v>0</v>
      </c>
      <c r="S38" s="2382">
        <f t="shared" si="17"/>
        <v>0</v>
      </c>
      <c r="T38" s="1212">
        <f t="shared" ref="T38:U39" si="18">IF(Q38=0,0,R38/Q38)</f>
        <v>0</v>
      </c>
      <c r="U38" s="1212">
        <f t="shared" si="18"/>
        <v>0</v>
      </c>
      <c r="V38" s="2392"/>
      <c r="W38" s="2392"/>
      <c r="X38" s="878"/>
      <c r="Y38" s="3076" t="s">
        <v>4782</v>
      </c>
    </row>
    <row r="39" spans="1:25" ht="92.4">
      <c r="A39" s="3285"/>
      <c r="B39" s="3285"/>
      <c r="C39" s="3288"/>
      <c r="D39" s="3285"/>
      <c r="E39" s="858" t="s">
        <v>4783</v>
      </c>
      <c r="F39" s="844"/>
      <c r="G39" s="857" t="s">
        <v>4779</v>
      </c>
      <c r="H39" s="852"/>
      <c r="I39" s="857" t="s">
        <v>4784</v>
      </c>
      <c r="J39" s="857" t="s">
        <v>207</v>
      </c>
      <c r="K39" s="857">
        <v>1</v>
      </c>
      <c r="L39" s="869">
        <v>1</v>
      </c>
      <c r="M39" s="2380">
        <v>0</v>
      </c>
      <c r="N39" s="1211">
        <v>0</v>
      </c>
      <c r="O39" s="3290"/>
      <c r="P39" s="2382">
        <v>750000000</v>
      </c>
      <c r="Q39" s="2382">
        <v>750000000</v>
      </c>
      <c r="R39" s="2382">
        <v>0</v>
      </c>
      <c r="S39" s="2382">
        <v>0</v>
      </c>
      <c r="T39" s="1212">
        <f t="shared" si="18"/>
        <v>0</v>
      </c>
      <c r="U39" s="1212">
        <f t="shared" si="18"/>
        <v>0</v>
      </c>
      <c r="V39" s="2393"/>
      <c r="W39" s="2394"/>
      <c r="X39" s="878"/>
      <c r="Y39" s="3285"/>
    </row>
    <row r="40" spans="1:25" ht="15.6">
      <c r="A40" s="872"/>
      <c r="B40" s="852">
        <v>5104</v>
      </c>
      <c r="C40" s="2205" t="s">
        <v>115</v>
      </c>
      <c r="D40" s="839" t="s">
        <v>2263</v>
      </c>
      <c r="E40" s="872"/>
      <c r="F40" s="844"/>
      <c r="G40" s="872"/>
      <c r="H40" s="872"/>
      <c r="I40" s="872"/>
      <c r="J40" s="872"/>
      <c r="K40" s="872"/>
      <c r="L40" s="2391"/>
      <c r="M40" s="857"/>
      <c r="N40" s="1211"/>
      <c r="O40" s="1214"/>
      <c r="P40" s="1081"/>
      <c r="Q40" s="1081"/>
      <c r="R40" s="1081"/>
      <c r="S40" s="1081"/>
      <c r="T40" s="2377"/>
      <c r="U40" s="2378"/>
      <c r="V40" s="872"/>
      <c r="W40" s="872"/>
      <c r="X40" s="878"/>
      <c r="Y40" s="872"/>
    </row>
    <row r="41" spans="1:25">
      <c r="A41" s="872"/>
      <c r="B41" s="852">
        <v>5104001</v>
      </c>
      <c r="C41" s="2207" t="s">
        <v>116</v>
      </c>
      <c r="D41" s="872" t="s">
        <v>2264</v>
      </c>
      <c r="E41" s="872"/>
      <c r="F41" s="844"/>
      <c r="G41" s="872"/>
      <c r="H41" s="872"/>
      <c r="I41" s="872"/>
      <c r="J41" s="872"/>
      <c r="K41" s="872"/>
      <c r="L41" s="2391"/>
      <c r="M41" s="857"/>
      <c r="N41" s="1211"/>
      <c r="O41" s="1214"/>
      <c r="P41" s="1081"/>
      <c r="Q41" s="1081"/>
      <c r="R41" s="1081"/>
      <c r="S41" s="1081"/>
      <c r="T41" s="2377"/>
      <c r="U41" s="2378"/>
      <c r="V41" s="872"/>
      <c r="W41" s="872"/>
      <c r="X41" s="878"/>
      <c r="Y41" s="872"/>
    </row>
    <row r="42" spans="1:25" s="46" customFormat="1" ht="41.4">
      <c r="A42" s="846"/>
      <c r="B42" s="844">
        <v>51040010001</v>
      </c>
      <c r="C42" s="844" t="s">
        <v>117</v>
      </c>
      <c r="D42" s="846" t="s">
        <v>4785</v>
      </c>
      <c r="E42" s="846"/>
      <c r="F42" s="844"/>
      <c r="G42" s="846"/>
      <c r="H42" s="851"/>
      <c r="I42" s="846"/>
      <c r="J42" s="846"/>
      <c r="K42" s="846">
        <f>+K43+K46</f>
        <v>330</v>
      </c>
      <c r="L42" s="2397"/>
      <c r="M42" s="846"/>
      <c r="N42" s="1248"/>
      <c r="O42" s="1176"/>
      <c r="P42" s="1258"/>
      <c r="Q42" s="1258"/>
      <c r="R42" s="1258"/>
      <c r="S42" s="1258"/>
      <c r="T42" s="2378"/>
      <c r="U42" s="2378"/>
      <c r="V42" s="846"/>
      <c r="W42" s="846"/>
      <c r="X42" s="878"/>
      <c r="Y42" s="846"/>
    </row>
    <row r="43" spans="1:25">
      <c r="A43" s="3076">
        <v>4171</v>
      </c>
      <c r="B43" s="3292"/>
      <c r="C43" s="3076" t="s">
        <v>123</v>
      </c>
      <c r="D43" s="3066" t="s">
        <v>4786</v>
      </c>
      <c r="E43" s="858" t="s">
        <v>4787</v>
      </c>
      <c r="F43" s="844"/>
      <c r="G43" s="872"/>
      <c r="H43" s="852"/>
      <c r="I43" s="872"/>
      <c r="J43" s="872"/>
      <c r="K43" s="857">
        <f>+K45</f>
        <v>180</v>
      </c>
      <c r="L43" s="869">
        <f>+L44+L45</f>
        <v>1</v>
      </c>
      <c r="M43" s="2380">
        <f>M45</f>
        <v>0</v>
      </c>
      <c r="N43" s="1211">
        <f>SUM(N44:N45)</f>
        <v>0</v>
      </c>
      <c r="O43" s="3289">
        <f>IF(Q43&gt;0,N43,"na")</f>
        <v>0</v>
      </c>
      <c r="P43" s="2382">
        <f t="shared" ref="P43:S43" si="19">SUM(P44:P45)</f>
        <v>412539990</v>
      </c>
      <c r="Q43" s="2382">
        <f t="shared" si="19"/>
        <v>412539990</v>
      </c>
      <c r="R43" s="2382">
        <f t="shared" si="19"/>
        <v>0</v>
      </c>
      <c r="S43" s="2382">
        <f t="shared" si="19"/>
        <v>0</v>
      </c>
      <c r="T43" s="1212">
        <f t="shared" ref="T43:U48" si="20">IF(Q43=0,0,R43/Q43)</f>
        <v>0</v>
      </c>
      <c r="U43" s="1212">
        <f t="shared" si="20"/>
        <v>0</v>
      </c>
      <c r="V43" s="2392"/>
      <c r="W43" s="2392"/>
      <c r="X43" s="878"/>
      <c r="Y43" s="3076" t="s">
        <v>4782</v>
      </c>
    </row>
    <row r="44" spans="1:25" ht="39.6">
      <c r="A44" s="3285"/>
      <c r="B44" s="3285"/>
      <c r="C44" s="3288"/>
      <c r="D44" s="3285"/>
      <c r="E44" s="858" t="s">
        <v>4788</v>
      </c>
      <c r="F44" s="3293"/>
      <c r="G44" s="872"/>
      <c r="H44" s="872"/>
      <c r="I44" s="857" t="s">
        <v>4789</v>
      </c>
      <c r="J44" s="857" t="s">
        <v>4790</v>
      </c>
      <c r="K44" s="857">
        <v>1</v>
      </c>
      <c r="L44" s="869">
        <v>0.2</v>
      </c>
      <c r="M44" s="2380">
        <v>0</v>
      </c>
      <c r="N44" s="1211">
        <v>0</v>
      </c>
      <c r="O44" s="3290"/>
      <c r="P44" s="2382">
        <v>8679990</v>
      </c>
      <c r="Q44" s="2382">
        <v>8679990</v>
      </c>
      <c r="R44" s="2382">
        <v>0</v>
      </c>
      <c r="S44" s="2382">
        <v>0</v>
      </c>
      <c r="T44" s="1212">
        <f t="shared" si="20"/>
        <v>0</v>
      </c>
      <c r="U44" s="1212">
        <f t="shared" si="20"/>
        <v>0</v>
      </c>
      <c r="V44" s="2393"/>
      <c r="W44" s="2394"/>
      <c r="X44" s="878"/>
      <c r="Y44" s="3285"/>
    </row>
    <row r="45" spans="1:25" ht="66">
      <c r="A45" s="3285"/>
      <c r="B45" s="3285"/>
      <c r="C45" s="3285"/>
      <c r="D45" s="3285"/>
      <c r="E45" s="858" t="s">
        <v>4791</v>
      </c>
      <c r="F45" s="3285"/>
      <c r="G45" s="857" t="s">
        <v>4792</v>
      </c>
      <c r="H45" s="852"/>
      <c r="I45" s="857" t="s">
        <v>4793</v>
      </c>
      <c r="J45" s="857" t="s">
        <v>4794</v>
      </c>
      <c r="K45" s="857">
        <v>180</v>
      </c>
      <c r="L45" s="869">
        <v>0.8</v>
      </c>
      <c r="M45" s="2380">
        <v>0</v>
      </c>
      <c r="N45" s="1211">
        <v>0</v>
      </c>
      <c r="O45" s="3290"/>
      <c r="P45" s="2382">
        <v>403860000</v>
      </c>
      <c r="Q45" s="2382">
        <v>403860000</v>
      </c>
      <c r="R45" s="2382">
        <v>0</v>
      </c>
      <c r="S45" s="2382">
        <v>0</v>
      </c>
      <c r="T45" s="1212">
        <f t="shared" si="20"/>
        <v>0</v>
      </c>
      <c r="U45" s="1212">
        <f t="shared" si="20"/>
        <v>0</v>
      </c>
      <c r="V45" s="2393"/>
      <c r="W45" s="2394"/>
      <c r="X45" s="878"/>
      <c r="Y45" s="3285"/>
    </row>
    <row r="46" spans="1:25">
      <c r="A46" s="3076">
        <v>4171</v>
      </c>
      <c r="B46" s="3287"/>
      <c r="C46" s="3251" t="s">
        <v>123</v>
      </c>
      <c r="D46" s="3066" t="s">
        <v>4795</v>
      </c>
      <c r="E46" s="858" t="s">
        <v>4796</v>
      </c>
      <c r="F46" s="844"/>
      <c r="G46" s="872"/>
      <c r="H46" s="852"/>
      <c r="I46" s="872"/>
      <c r="J46" s="872"/>
      <c r="K46" s="857">
        <f>+K48</f>
        <v>150</v>
      </c>
      <c r="L46" s="869">
        <f>+L47+L48</f>
        <v>1</v>
      </c>
      <c r="M46" s="2380">
        <f>M48</f>
        <v>0</v>
      </c>
      <c r="N46" s="1211">
        <f>SUM(N47:N48)</f>
        <v>0</v>
      </c>
      <c r="O46" s="3289">
        <f>IF(Q46&gt;0,N46,"na")</f>
        <v>0</v>
      </c>
      <c r="P46" s="2382">
        <f t="shared" ref="P46:S46" si="21">SUM(P47:P48)</f>
        <v>540000000</v>
      </c>
      <c r="Q46" s="2382">
        <f t="shared" si="21"/>
        <v>540000000</v>
      </c>
      <c r="R46" s="2382">
        <f t="shared" si="21"/>
        <v>0</v>
      </c>
      <c r="S46" s="2382">
        <f t="shared" si="21"/>
        <v>0</v>
      </c>
      <c r="T46" s="1212">
        <f t="shared" si="20"/>
        <v>0</v>
      </c>
      <c r="U46" s="1212">
        <f t="shared" si="20"/>
        <v>0</v>
      </c>
      <c r="V46" s="2392"/>
      <c r="W46" s="2392"/>
      <c r="X46" s="878"/>
      <c r="Y46" s="3076" t="s">
        <v>4782</v>
      </c>
    </row>
    <row r="47" spans="1:25" ht="39.6">
      <c r="A47" s="3285"/>
      <c r="B47" s="3285"/>
      <c r="C47" s="3288"/>
      <c r="D47" s="3285"/>
      <c r="E47" s="858" t="s">
        <v>4797</v>
      </c>
      <c r="F47" s="3293"/>
      <c r="G47" s="872"/>
      <c r="H47" s="872"/>
      <c r="I47" s="857" t="s">
        <v>4789</v>
      </c>
      <c r="J47" s="857" t="s">
        <v>4790</v>
      </c>
      <c r="K47" s="857">
        <v>1</v>
      </c>
      <c r="L47" s="869">
        <v>0.2</v>
      </c>
      <c r="M47" s="2380">
        <v>0</v>
      </c>
      <c r="N47" s="1211">
        <v>0</v>
      </c>
      <c r="O47" s="3290"/>
      <c r="P47" s="2382">
        <v>3700000</v>
      </c>
      <c r="Q47" s="2382">
        <v>3700000</v>
      </c>
      <c r="R47" s="2382">
        <v>0</v>
      </c>
      <c r="S47" s="2382">
        <v>0</v>
      </c>
      <c r="T47" s="1212">
        <f t="shared" si="20"/>
        <v>0</v>
      </c>
      <c r="U47" s="1212">
        <f t="shared" si="20"/>
        <v>0</v>
      </c>
      <c r="V47" s="872"/>
      <c r="W47" s="872"/>
      <c r="X47" s="878"/>
      <c r="Y47" s="3285"/>
    </row>
    <row r="48" spans="1:25" ht="66">
      <c r="A48" s="3285"/>
      <c r="B48" s="3285"/>
      <c r="C48" s="3285"/>
      <c r="D48" s="3285"/>
      <c r="E48" s="858" t="s">
        <v>4798</v>
      </c>
      <c r="F48" s="3285"/>
      <c r="G48" s="857" t="s">
        <v>4792</v>
      </c>
      <c r="H48" s="852"/>
      <c r="I48" s="857" t="s">
        <v>4799</v>
      </c>
      <c r="J48" s="857" t="s">
        <v>4800</v>
      </c>
      <c r="K48" s="857">
        <v>150</v>
      </c>
      <c r="L48" s="869">
        <v>0.8</v>
      </c>
      <c r="M48" s="2380">
        <v>0</v>
      </c>
      <c r="N48" s="1211">
        <v>0</v>
      </c>
      <c r="O48" s="3290"/>
      <c r="P48" s="2382">
        <v>536300000</v>
      </c>
      <c r="Q48" s="2382">
        <v>536300000</v>
      </c>
      <c r="R48" s="2382">
        <v>0</v>
      </c>
      <c r="S48" s="2382">
        <v>0</v>
      </c>
      <c r="T48" s="1212">
        <f t="shared" si="20"/>
        <v>0</v>
      </c>
      <c r="U48" s="1212">
        <f t="shared" si="20"/>
        <v>0</v>
      </c>
      <c r="V48" s="2393"/>
      <c r="W48" s="2394"/>
      <c r="X48" s="878"/>
      <c r="Y48" s="3285"/>
    </row>
    <row r="49" spans="1:25" s="46" customFormat="1">
      <c r="A49" s="846"/>
      <c r="B49" s="851">
        <v>51040010004</v>
      </c>
      <c r="C49" s="851" t="s">
        <v>117</v>
      </c>
      <c r="D49" s="846" t="s">
        <v>4801</v>
      </c>
      <c r="E49" s="846"/>
      <c r="F49" s="844"/>
      <c r="G49" s="846"/>
      <c r="H49" s="851"/>
      <c r="I49" s="846"/>
      <c r="J49" s="846"/>
      <c r="K49" s="846">
        <f>+K50</f>
        <v>2000</v>
      </c>
      <c r="L49" s="2397"/>
      <c r="M49" s="846"/>
      <c r="N49" s="1248"/>
      <c r="O49" s="1176"/>
      <c r="P49" s="1258"/>
      <c r="Q49" s="1258"/>
      <c r="R49" s="1258"/>
      <c r="S49" s="1258"/>
      <c r="T49" s="2378"/>
      <c r="U49" s="2378"/>
      <c r="V49" s="846"/>
      <c r="W49" s="846"/>
      <c r="X49" s="878"/>
      <c r="Y49" s="846"/>
    </row>
    <row r="50" spans="1:25">
      <c r="A50" s="3076">
        <v>4171</v>
      </c>
      <c r="B50" s="3292"/>
      <c r="C50" s="3076" t="s">
        <v>123</v>
      </c>
      <c r="D50" s="3066" t="s">
        <v>4802</v>
      </c>
      <c r="E50" s="858" t="s">
        <v>4803</v>
      </c>
      <c r="F50" s="844"/>
      <c r="G50" s="872"/>
      <c r="H50" s="852"/>
      <c r="I50" s="872"/>
      <c r="J50" s="872"/>
      <c r="K50" s="857">
        <f>+K52</f>
        <v>2000</v>
      </c>
      <c r="L50" s="869">
        <f>+L51+L52+L53</f>
        <v>1</v>
      </c>
      <c r="M50" s="2380">
        <f>M52</f>
        <v>0</v>
      </c>
      <c r="N50" s="1211">
        <f>SUM(N51:N53)</f>
        <v>0</v>
      </c>
      <c r="O50" s="3289">
        <f>IF(Q50&gt;0,N50,"na")</f>
        <v>0</v>
      </c>
      <c r="P50" s="2382">
        <f t="shared" ref="P50:S50" si="22">SUM(P51:P53)</f>
        <v>100000000</v>
      </c>
      <c r="Q50" s="2382">
        <f t="shared" si="22"/>
        <v>100000000</v>
      </c>
      <c r="R50" s="2382">
        <f t="shared" si="22"/>
        <v>0</v>
      </c>
      <c r="S50" s="2382">
        <f t="shared" si="22"/>
        <v>0</v>
      </c>
      <c r="T50" s="1212">
        <f t="shared" ref="T50:U53" si="23">IF(Q50=0,0,R50/Q50)</f>
        <v>0</v>
      </c>
      <c r="U50" s="1212">
        <f t="shared" si="23"/>
        <v>0</v>
      </c>
      <c r="V50" s="2392"/>
      <c r="W50" s="2392"/>
      <c r="X50" s="878"/>
      <c r="Y50" s="3076" t="s">
        <v>4782</v>
      </c>
    </row>
    <row r="51" spans="1:25" ht="39.6">
      <c r="A51" s="3285"/>
      <c r="B51" s="3285"/>
      <c r="C51" s="3288"/>
      <c r="D51" s="3285"/>
      <c r="E51" s="858" t="s">
        <v>4804</v>
      </c>
      <c r="F51" s="3293"/>
      <c r="G51" s="872"/>
      <c r="H51" s="872"/>
      <c r="I51" s="857" t="s">
        <v>4789</v>
      </c>
      <c r="J51" s="857" t="s">
        <v>124</v>
      </c>
      <c r="K51" s="857">
        <v>1</v>
      </c>
      <c r="L51" s="869">
        <v>0.2</v>
      </c>
      <c r="M51" s="2380">
        <v>0</v>
      </c>
      <c r="N51" s="1211">
        <v>0</v>
      </c>
      <c r="O51" s="3290"/>
      <c r="P51" s="2382">
        <v>25500000</v>
      </c>
      <c r="Q51" s="2382">
        <v>25500000</v>
      </c>
      <c r="R51" s="2382">
        <v>0</v>
      </c>
      <c r="S51" s="2382">
        <v>0</v>
      </c>
      <c r="T51" s="1212">
        <f t="shared" si="23"/>
        <v>0</v>
      </c>
      <c r="U51" s="1212">
        <f t="shared" si="23"/>
        <v>0</v>
      </c>
      <c r="V51" s="2393"/>
      <c r="W51" s="2394"/>
      <c r="X51" s="878"/>
      <c r="Y51" s="3285"/>
    </row>
    <row r="52" spans="1:25" ht="66">
      <c r="A52" s="3285"/>
      <c r="B52" s="3285"/>
      <c r="C52" s="3288"/>
      <c r="D52" s="3285"/>
      <c r="E52" s="858" t="s">
        <v>4805</v>
      </c>
      <c r="F52" s="3285"/>
      <c r="G52" s="857" t="s">
        <v>4806</v>
      </c>
      <c r="H52" s="852"/>
      <c r="I52" s="857" t="s">
        <v>4807</v>
      </c>
      <c r="J52" s="857" t="s">
        <v>2896</v>
      </c>
      <c r="K52" s="857">
        <v>2000</v>
      </c>
      <c r="L52" s="869">
        <v>0.5</v>
      </c>
      <c r="M52" s="2380">
        <v>0</v>
      </c>
      <c r="N52" s="1211">
        <v>0</v>
      </c>
      <c r="O52" s="3290"/>
      <c r="P52" s="2382">
        <v>50500000</v>
      </c>
      <c r="Q52" s="2382">
        <v>50500000</v>
      </c>
      <c r="R52" s="2382">
        <v>0</v>
      </c>
      <c r="S52" s="2382">
        <v>0</v>
      </c>
      <c r="T52" s="1212">
        <f t="shared" si="23"/>
        <v>0</v>
      </c>
      <c r="U52" s="1212">
        <f t="shared" si="23"/>
        <v>0</v>
      </c>
      <c r="V52" s="2393"/>
      <c r="W52" s="2394"/>
      <c r="X52" s="878"/>
      <c r="Y52" s="3285"/>
    </row>
    <row r="53" spans="1:25" ht="52.8">
      <c r="A53" s="3285"/>
      <c r="B53" s="3285"/>
      <c r="C53" s="3285"/>
      <c r="D53" s="3285"/>
      <c r="E53" s="858" t="s">
        <v>4808</v>
      </c>
      <c r="F53" s="3285"/>
      <c r="G53" s="872"/>
      <c r="H53" s="872"/>
      <c r="I53" s="857" t="s">
        <v>4809</v>
      </c>
      <c r="J53" s="857" t="s">
        <v>3035</v>
      </c>
      <c r="K53" s="857">
        <v>1</v>
      </c>
      <c r="L53" s="869">
        <v>0.3</v>
      </c>
      <c r="M53" s="2380">
        <v>0</v>
      </c>
      <c r="N53" s="1211">
        <v>0</v>
      </c>
      <c r="O53" s="3290"/>
      <c r="P53" s="2382">
        <v>24000000</v>
      </c>
      <c r="Q53" s="2382">
        <v>24000000</v>
      </c>
      <c r="R53" s="2382">
        <v>0</v>
      </c>
      <c r="S53" s="2382">
        <v>0</v>
      </c>
      <c r="T53" s="1212">
        <f t="shared" si="23"/>
        <v>0</v>
      </c>
      <c r="U53" s="1212">
        <f t="shared" si="23"/>
        <v>0</v>
      </c>
      <c r="V53" s="2393"/>
      <c r="W53" s="2394"/>
      <c r="X53" s="878"/>
      <c r="Y53" s="3285"/>
    </row>
    <row r="54" spans="1:25" s="46" customFormat="1" ht="27.6">
      <c r="A54" s="846"/>
      <c r="B54" s="844">
        <v>51040010005</v>
      </c>
      <c r="C54" s="844" t="s">
        <v>117</v>
      </c>
      <c r="D54" s="846" t="s">
        <v>4810</v>
      </c>
      <c r="E54" s="846"/>
      <c r="F54" s="844"/>
      <c r="G54" s="846"/>
      <c r="H54" s="851"/>
      <c r="I54" s="846"/>
      <c r="J54" s="846"/>
      <c r="K54" s="846">
        <f>+K55</f>
        <v>100</v>
      </c>
      <c r="L54" s="2397"/>
      <c r="M54" s="846"/>
      <c r="N54" s="1248"/>
      <c r="O54" s="1176"/>
      <c r="P54" s="1258"/>
      <c r="Q54" s="1258"/>
      <c r="R54" s="1258"/>
      <c r="S54" s="1258"/>
      <c r="T54" s="2378"/>
      <c r="U54" s="2378"/>
      <c r="V54" s="846"/>
      <c r="W54" s="846"/>
      <c r="X54" s="878"/>
      <c r="Y54" s="846"/>
    </row>
    <row r="55" spans="1:25">
      <c r="A55" s="3076">
        <v>4171</v>
      </c>
      <c r="B55" s="3287"/>
      <c r="C55" s="3251" t="s">
        <v>123</v>
      </c>
      <c r="D55" s="3066" t="s">
        <v>4811</v>
      </c>
      <c r="E55" s="858" t="s">
        <v>4812</v>
      </c>
      <c r="F55" s="844"/>
      <c r="G55" s="872"/>
      <c r="H55" s="852"/>
      <c r="I55" s="872"/>
      <c r="J55" s="872"/>
      <c r="K55" s="857">
        <f>+K57</f>
        <v>100</v>
      </c>
      <c r="L55" s="869">
        <f>+L56+L57+L58</f>
        <v>1</v>
      </c>
      <c r="M55" s="2380">
        <f>M57</f>
        <v>0</v>
      </c>
      <c r="N55" s="1211">
        <f>SUM(N56:N58)</f>
        <v>0</v>
      </c>
      <c r="O55" s="3289">
        <f>IF(Q55&gt;0,N55,"na")</f>
        <v>0</v>
      </c>
      <c r="P55" s="2382">
        <f t="shared" ref="P55:S55" si="24">SUM(P56:P58)</f>
        <v>315000000</v>
      </c>
      <c r="Q55" s="2382">
        <f t="shared" si="24"/>
        <v>315000000</v>
      </c>
      <c r="R55" s="2382">
        <f t="shared" si="24"/>
        <v>0</v>
      </c>
      <c r="S55" s="2382">
        <f t="shared" si="24"/>
        <v>0</v>
      </c>
      <c r="T55" s="1212">
        <f t="shared" ref="T55:U58" si="25">IF(Q55=0,0,R55/Q55)</f>
        <v>0</v>
      </c>
      <c r="U55" s="1212">
        <f t="shared" si="25"/>
        <v>0</v>
      </c>
      <c r="V55" s="2392"/>
      <c r="W55" s="2392"/>
      <c r="X55" s="878"/>
      <c r="Y55" s="3076" t="s">
        <v>4782</v>
      </c>
    </row>
    <row r="56" spans="1:25" ht="39.6">
      <c r="A56" s="3285"/>
      <c r="B56" s="3285"/>
      <c r="C56" s="3288"/>
      <c r="D56" s="3285"/>
      <c r="E56" s="858" t="s">
        <v>4813</v>
      </c>
      <c r="F56" s="3293"/>
      <c r="G56" s="872"/>
      <c r="H56" s="872"/>
      <c r="I56" s="857" t="s">
        <v>4789</v>
      </c>
      <c r="J56" s="857" t="s">
        <v>4790</v>
      </c>
      <c r="K56" s="857">
        <v>1</v>
      </c>
      <c r="L56" s="869">
        <v>0.2</v>
      </c>
      <c r="M56" s="2380">
        <v>0</v>
      </c>
      <c r="N56" s="1211">
        <v>0</v>
      </c>
      <c r="O56" s="3290"/>
      <c r="P56" s="2382">
        <v>18000000</v>
      </c>
      <c r="Q56" s="2382">
        <v>18000000</v>
      </c>
      <c r="R56" s="2382">
        <v>0</v>
      </c>
      <c r="S56" s="2382">
        <v>0</v>
      </c>
      <c r="T56" s="1212">
        <f t="shared" si="25"/>
        <v>0</v>
      </c>
      <c r="U56" s="1212">
        <f t="shared" si="25"/>
        <v>0</v>
      </c>
      <c r="V56" s="2393"/>
      <c r="W56" s="2394"/>
      <c r="X56" s="878"/>
      <c r="Y56" s="3285"/>
    </row>
    <row r="57" spans="1:25" ht="66">
      <c r="A57" s="3285"/>
      <c r="B57" s="3285"/>
      <c r="C57" s="3288"/>
      <c r="D57" s="3285"/>
      <c r="E57" s="858" t="s">
        <v>4814</v>
      </c>
      <c r="F57" s="3285"/>
      <c r="G57" s="857" t="s">
        <v>4815</v>
      </c>
      <c r="H57" s="852"/>
      <c r="I57" s="857" t="s">
        <v>4816</v>
      </c>
      <c r="J57" s="857" t="s">
        <v>4800</v>
      </c>
      <c r="K57" s="857">
        <v>100</v>
      </c>
      <c r="L57" s="869">
        <v>0.5</v>
      </c>
      <c r="M57" s="2380">
        <v>0</v>
      </c>
      <c r="N57" s="1211">
        <v>0</v>
      </c>
      <c r="O57" s="3290"/>
      <c r="P57" s="2382">
        <v>293000000</v>
      </c>
      <c r="Q57" s="2382">
        <v>293000000</v>
      </c>
      <c r="R57" s="2382"/>
      <c r="S57" s="2382"/>
      <c r="T57" s="1212">
        <f t="shared" si="25"/>
        <v>0</v>
      </c>
      <c r="U57" s="1212">
        <f t="shared" si="25"/>
        <v>0</v>
      </c>
      <c r="V57" s="2393"/>
      <c r="W57" s="2394"/>
      <c r="X57" s="878"/>
      <c r="Y57" s="3285"/>
    </row>
    <row r="58" spans="1:25" ht="52.8">
      <c r="A58" s="3285"/>
      <c r="B58" s="3285"/>
      <c r="C58" s="3285"/>
      <c r="D58" s="3285"/>
      <c r="E58" s="858" t="s">
        <v>4817</v>
      </c>
      <c r="F58" s="3285"/>
      <c r="G58" s="872"/>
      <c r="H58" s="872"/>
      <c r="I58" s="857" t="s">
        <v>4818</v>
      </c>
      <c r="J58" s="857" t="s">
        <v>4819</v>
      </c>
      <c r="K58" s="857">
        <v>1</v>
      </c>
      <c r="L58" s="869">
        <v>0.3</v>
      </c>
      <c r="M58" s="2380">
        <v>0</v>
      </c>
      <c r="N58" s="1211">
        <v>0</v>
      </c>
      <c r="O58" s="3290"/>
      <c r="P58" s="2382">
        <v>4000000</v>
      </c>
      <c r="Q58" s="2382">
        <v>4000000</v>
      </c>
      <c r="R58" s="2382"/>
      <c r="S58" s="2382"/>
      <c r="T58" s="1212">
        <f t="shared" si="25"/>
        <v>0</v>
      </c>
      <c r="U58" s="1212">
        <f t="shared" si="25"/>
        <v>0</v>
      </c>
      <c r="V58" s="2393"/>
      <c r="W58" s="2394"/>
      <c r="X58" s="878"/>
      <c r="Y58" s="3285"/>
    </row>
    <row r="59" spans="1:25">
      <c r="A59" s="872"/>
      <c r="B59" s="858">
        <v>5104002</v>
      </c>
      <c r="C59" s="873" t="s">
        <v>116</v>
      </c>
      <c r="D59" s="872" t="s">
        <v>4820</v>
      </c>
      <c r="E59" s="872"/>
      <c r="F59" s="844"/>
      <c r="G59" s="872"/>
      <c r="H59" s="872"/>
      <c r="I59" s="872"/>
      <c r="J59" s="872"/>
      <c r="K59" s="872"/>
      <c r="L59" s="2391"/>
      <c r="M59" s="857"/>
      <c r="N59" s="1211"/>
      <c r="O59" s="1214"/>
      <c r="P59" s="1081"/>
      <c r="Q59" s="1081"/>
      <c r="R59" s="1081"/>
      <c r="S59" s="1081"/>
      <c r="T59" s="2377"/>
      <c r="U59" s="2378"/>
      <c r="V59" s="872"/>
      <c r="W59" s="872"/>
      <c r="X59" s="878"/>
      <c r="Y59" s="872"/>
    </row>
    <row r="60" spans="1:25" s="46" customFormat="1" ht="27.6">
      <c r="A60" s="846"/>
      <c r="B60" s="844">
        <v>51040020001</v>
      </c>
      <c r="C60" s="844" t="s">
        <v>117</v>
      </c>
      <c r="D60" s="846" t="s">
        <v>4821</v>
      </c>
      <c r="E60" s="846"/>
      <c r="F60" s="844"/>
      <c r="G60" s="846"/>
      <c r="H60" s="851"/>
      <c r="I60" s="846"/>
      <c r="J60" s="846"/>
      <c r="K60" s="846">
        <f>K61+K64+K66+K68+K70+K72+K74+K76+K78+K80+K82+K84+K86+K88+K90+K92+K94+K96+K98</f>
        <v>2153</v>
      </c>
      <c r="L60" s="2397"/>
      <c r="M60" s="846"/>
      <c r="N60" s="1248"/>
      <c r="O60" s="1176"/>
      <c r="P60" s="1258"/>
      <c r="Q60" s="1258"/>
      <c r="R60" s="1258"/>
      <c r="S60" s="1258"/>
      <c r="T60" s="2378"/>
      <c r="U60" s="2378"/>
      <c r="V60" s="846"/>
      <c r="W60" s="846"/>
      <c r="X60" s="878"/>
      <c r="Y60" s="846"/>
    </row>
    <row r="61" spans="1:25">
      <c r="A61" s="3076">
        <v>4171</v>
      </c>
      <c r="B61" s="3287"/>
      <c r="C61" s="3251" t="s">
        <v>123</v>
      </c>
      <c r="D61" s="3066" t="s">
        <v>4822</v>
      </c>
      <c r="E61" s="858" t="s">
        <v>4823</v>
      </c>
      <c r="F61" s="844"/>
      <c r="G61" s="872"/>
      <c r="H61" s="852"/>
      <c r="I61" s="872"/>
      <c r="J61" s="872"/>
      <c r="K61" s="857">
        <f>+K63</f>
        <v>100</v>
      </c>
      <c r="L61" s="869">
        <f>+L62+L63</f>
        <v>1</v>
      </c>
      <c r="M61" s="2380">
        <f>M63</f>
        <v>0</v>
      </c>
      <c r="N61" s="1211">
        <f>SUM(N62:N63)</f>
        <v>0.1</v>
      </c>
      <c r="O61" s="3289">
        <f>IF(Q61&gt;0,N61,"na")</f>
        <v>0.1</v>
      </c>
      <c r="P61" s="2382">
        <f t="shared" ref="P61:S61" si="26">SUM(P62:P63)</f>
        <v>1186464800</v>
      </c>
      <c r="Q61" s="2382">
        <f t="shared" si="26"/>
        <v>1186464800</v>
      </c>
      <c r="R61" s="2382">
        <f t="shared" si="26"/>
        <v>124340002</v>
      </c>
      <c r="S61" s="2382">
        <f t="shared" si="26"/>
        <v>72411002</v>
      </c>
      <c r="T61" s="1212">
        <f t="shared" ref="T61:U76" si="27">IF(Q61=0,0,R61/Q61)</f>
        <v>0.10479872812071626</v>
      </c>
      <c r="U61" s="1212">
        <f t="shared" si="27"/>
        <v>0.58236288270286496</v>
      </c>
      <c r="V61" s="2392"/>
      <c r="W61" s="2392"/>
      <c r="X61" s="878"/>
      <c r="Y61" s="3076" t="s">
        <v>4782</v>
      </c>
    </row>
    <row r="62" spans="1:25" ht="105.6">
      <c r="A62" s="3285"/>
      <c r="B62" s="3285"/>
      <c r="C62" s="3288"/>
      <c r="D62" s="3285"/>
      <c r="E62" s="858" t="s">
        <v>4824</v>
      </c>
      <c r="F62" s="844"/>
      <c r="G62" s="872"/>
      <c r="H62" s="872"/>
      <c r="I62" s="857" t="s">
        <v>4775</v>
      </c>
      <c r="J62" s="857" t="s">
        <v>170</v>
      </c>
      <c r="K62" s="857">
        <v>1</v>
      </c>
      <c r="L62" s="869">
        <v>0.3</v>
      </c>
      <c r="M62" s="2380">
        <v>0</v>
      </c>
      <c r="N62" s="1211">
        <v>0.03</v>
      </c>
      <c r="O62" s="3290"/>
      <c r="P62" s="2382">
        <v>32340400</v>
      </c>
      <c r="Q62" s="2382">
        <v>32340400</v>
      </c>
      <c r="R62" s="2382">
        <v>19517931</v>
      </c>
      <c r="S62" s="2382">
        <v>12723199</v>
      </c>
      <c r="T62" s="1212">
        <f t="shared" si="27"/>
        <v>0.60351544817009062</v>
      </c>
      <c r="U62" s="1212">
        <f t="shared" si="27"/>
        <v>0.65187232191772781</v>
      </c>
      <c r="V62" s="2393">
        <v>45310</v>
      </c>
      <c r="W62" s="2394">
        <v>45657</v>
      </c>
      <c r="X62" s="878" t="s">
        <v>4825</v>
      </c>
      <c r="Y62" s="3285"/>
    </row>
    <row r="63" spans="1:25" ht="105.6">
      <c r="A63" s="3285"/>
      <c r="B63" s="3285"/>
      <c r="C63" s="3285"/>
      <c r="D63" s="3285"/>
      <c r="E63" s="858" t="s">
        <v>4826</v>
      </c>
      <c r="F63" s="844"/>
      <c r="G63" s="857" t="s">
        <v>4827</v>
      </c>
      <c r="H63" s="852"/>
      <c r="I63" s="857" t="s">
        <v>4828</v>
      </c>
      <c r="J63" s="857" t="s">
        <v>4750</v>
      </c>
      <c r="K63" s="857">
        <v>100</v>
      </c>
      <c r="L63" s="869">
        <v>0.7</v>
      </c>
      <c r="M63" s="2380">
        <v>0</v>
      </c>
      <c r="N63" s="1211">
        <v>7.0000000000000007E-2</v>
      </c>
      <c r="O63" s="3290"/>
      <c r="P63" s="2382">
        <v>1154124400</v>
      </c>
      <c r="Q63" s="2382">
        <v>1154124400</v>
      </c>
      <c r="R63" s="2382">
        <v>104822071</v>
      </c>
      <c r="S63" s="2382">
        <v>59687803</v>
      </c>
      <c r="T63" s="1212">
        <f t="shared" si="27"/>
        <v>9.0823892987619018E-2</v>
      </c>
      <c r="U63" s="1212">
        <f t="shared" si="27"/>
        <v>0.56942018441898556</v>
      </c>
      <c r="V63" s="2393">
        <v>45310</v>
      </c>
      <c r="W63" s="2394">
        <v>45657</v>
      </c>
      <c r="X63" s="878" t="s">
        <v>4829</v>
      </c>
      <c r="Y63" s="3285"/>
    </row>
    <row r="64" spans="1:25">
      <c r="A64" s="3076">
        <v>4171</v>
      </c>
      <c r="B64" s="3287"/>
      <c r="C64" s="3251" t="s">
        <v>123</v>
      </c>
      <c r="D64" s="3066" t="s">
        <v>4830</v>
      </c>
      <c r="E64" s="858" t="s">
        <v>4831</v>
      </c>
      <c r="F64" s="844"/>
      <c r="G64" s="872"/>
      <c r="H64" s="852"/>
      <c r="I64" s="872"/>
      <c r="J64" s="872"/>
      <c r="K64" s="857">
        <f t="shared" ref="K64:L64" si="28">+K65</f>
        <v>130</v>
      </c>
      <c r="L64" s="869">
        <f t="shared" si="28"/>
        <v>1</v>
      </c>
      <c r="M64" s="2380">
        <f t="shared" ref="M64:N64" si="29">M65</f>
        <v>0</v>
      </c>
      <c r="N64" s="1211">
        <f t="shared" si="29"/>
        <v>0</v>
      </c>
      <c r="O64" s="3289">
        <f>IF(Q64&gt;0,N64,"na")</f>
        <v>0</v>
      </c>
      <c r="P64" s="2382">
        <f t="shared" ref="P64:S64" si="30">SUM(P65)</f>
        <v>468466520</v>
      </c>
      <c r="Q64" s="2382">
        <f t="shared" si="30"/>
        <v>468466520</v>
      </c>
      <c r="R64" s="2382">
        <f t="shared" si="30"/>
        <v>0</v>
      </c>
      <c r="S64" s="2382">
        <f t="shared" si="30"/>
        <v>0</v>
      </c>
      <c r="T64" s="1212">
        <f t="shared" si="27"/>
        <v>0</v>
      </c>
      <c r="U64" s="1212">
        <f t="shared" si="27"/>
        <v>0</v>
      </c>
      <c r="V64" s="2392"/>
      <c r="W64" s="2392"/>
      <c r="X64" s="878"/>
      <c r="Y64" s="3076" t="s">
        <v>4782</v>
      </c>
    </row>
    <row r="65" spans="1:25" ht="92.4">
      <c r="A65" s="3285"/>
      <c r="B65" s="3285"/>
      <c r="C65" s="3285"/>
      <c r="D65" s="3285"/>
      <c r="E65" s="858" t="s">
        <v>4832</v>
      </c>
      <c r="F65" s="844"/>
      <c r="G65" s="857" t="s">
        <v>4754</v>
      </c>
      <c r="H65" s="852"/>
      <c r="I65" s="857" t="s">
        <v>4833</v>
      </c>
      <c r="J65" s="857" t="s">
        <v>2902</v>
      </c>
      <c r="K65" s="857">
        <v>130</v>
      </c>
      <c r="L65" s="869">
        <v>1</v>
      </c>
      <c r="M65" s="2380">
        <v>0</v>
      </c>
      <c r="N65" s="1211">
        <v>0</v>
      </c>
      <c r="O65" s="3290"/>
      <c r="P65" s="2382">
        <v>468466520</v>
      </c>
      <c r="Q65" s="2382">
        <v>468466520</v>
      </c>
      <c r="R65" s="2382">
        <v>0</v>
      </c>
      <c r="S65" s="2382">
        <v>0</v>
      </c>
      <c r="T65" s="1212">
        <f t="shared" si="27"/>
        <v>0</v>
      </c>
      <c r="U65" s="1212">
        <f t="shared" si="27"/>
        <v>0</v>
      </c>
      <c r="V65" s="2393"/>
      <c r="W65" s="2393"/>
      <c r="X65" s="878"/>
      <c r="Y65" s="3285"/>
    </row>
    <row r="66" spans="1:25">
      <c r="A66" s="3076">
        <v>4171</v>
      </c>
      <c r="B66" s="3287"/>
      <c r="C66" s="3251" t="s">
        <v>123</v>
      </c>
      <c r="D66" s="3066" t="s">
        <v>4834</v>
      </c>
      <c r="E66" s="858" t="s">
        <v>4835</v>
      </c>
      <c r="F66" s="844"/>
      <c r="G66" s="872"/>
      <c r="H66" s="852"/>
      <c r="I66" s="872"/>
      <c r="J66" s="872"/>
      <c r="K66" s="857">
        <f t="shared" ref="K66:L66" si="31">+K67</f>
        <v>210</v>
      </c>
      <c r="L66" s="869">
        <f t="shared" si="31"/>
        <v>1</v>
      </c>
      <c r="M66" s="2380">
        <f t="shared" ref="M66:N66" si="32">M67</f>
        <v>0</v>
      </c>
      <c r="N66" s="1211">
        <f t="shared" si="32"/>
        <v>0</v>
      </c>
      <c r="O66" s="3289">
        <f>IF(Q66&gt;0,N66,"na")</f>
        <v>0</v>
      </c>
      <c r="P66" s="2382">
        <f t="shared" ref="P66:S66" si="33">SUM(P67)</f>
        <v>869131500</v>
      </c>
      <c r="Q66" s="2382">
        <f t="shared" si="33"/>
        <v>869131500</v>
      </c>
      <c r="R66" s="2382">
        <f t="shared" si="33"/>
        <v>0</v>
      </c>
      <c r="S66" s="2382">
        <f t="shared" si="33"/>
        <v>0</v>
      </c>
      <c r="T66" s="1212">
        <f t="shared" si="27"/>
        <v>0</v>
      </c>
      <c r="U66" s="1212">
        <f t="shared" si="27"/>
        <v>0</v>
      </c>
      <c r="V66" s="2392"/>
      <c r="W66" s="2392"/>
      <c r="X66" s="878"/>
      <c r="Y66" s="3076" t="s">
        <v>4782</v>
      </c>
    </row>
    <row r="67" spans="1:25" ht="92.4">
      <c r="A67" s="3285"/>
      <c r="B67" s="3285"/>
      <c r="C67" s="3285"/>
      <c r="D67" s="3285"/>
      <c r="E67" s="858" t="s">
        <v>4836</v>
      </c>
      <c r="F67" s="844"/>
      <c r="G67" s="857" t="s">
        <v>4754</v>
      </c>
      <c r="H67" s="852"/>
      <c r="I67" s="857" t="s">
        <v>4837</v>
      </c>
      <c r="J67" s="857" t="s">
        <v>2902</v>
      </c>
      <c r="K67" s="857">
        <v>210</v>
      </c>
      <c r="L67" s="869">
        <v>1</v>
      </c>
      <c r="M67" s="2380">
        <v>0</v>
      </c>
      <c r="N67" s="1211">
        <v>0</v>
      </c>
      <c r="O67" s="3290"/>
      <c r="P67" s="2382">
        <v>869131500</v>
      </c>
      <c r="Q67" s="2382">
        <v>869131500</v>
      </c>
      <c r="R67" s="2382">
        <v>0</v>
      </c>
      <c r="S67" s="2382">
        <v>0</v>
      </c>
      <c r="T67" s="1212">
        <f t="shared" si="27"/>
        <v>0</v>
      </c>
      <c r="U67" s="1212">
        <f t="shared" si="27"/>
        <v>0</v>
      </c>
      <c r="V67" s="2393"/>
      <c r="W67" s="2393"/>
      <c r="X67" s="878"/>
      <c r="Y67" s="3285"/>
    </row>
    <row r="68" spans="1:25">
      <c r="A68" s="3076">
        <v>4171</v>
      </c>
      <c r="B68" s="3287"/>
      <c r="C68" s="3251" t="s">
        <v>123</v>
      </c>
      <c r="D68" s="3066" t="s">
        <v>4838</v>
      </c>
      <c r="E68" s="858" t="s">
        <v>4839</v>
      </c>
      <c r="F68" s="844"/>
      <c r="G68" s="872"/>
      <c r="H68" s="852"/>
      <c r="I68" s="872"/>
      <c r="J68" s="872"/>
      <c r="K68" s="857">
        <f>+K69</f>
        <v>120</v>
      </c>
      <c r="L68" s="869">
        <f t="shared" ref="L68:N68" si="34">L69</f>
        <v>1</v>
      </c>
      <c r="M68" s="2380">
        <f t="shared" si="34"/>
        <v>0</v>
      </c>
      <c r="N68" s="1211">
        <f t="shared" si="34"/>
        <v>0</v>
      </c>
      <c r="O68" s="3289">
        <f>IF(Q68&gt;0,N68,"na")</f>
        <v>0</v>
      </c>
      <c r="P68" s="2382">
        <f t="shared" ref="P68:S68" si="35">SUM(P69)</f>
        <v>365285448</v>
      </c>
      <c r="Q68" s="2382">
        <f t="shared" si="35"/>
        <v>365285448</v>
      </c>
      <c r="R68" s="2382">
        <f t="shared" si="35"/>
        <v>0</v>
      </c>
      <c r="S68" s="2382">
        <f t="shared" si="35"/>
        <v>0</v>
      </c>
      <c r="T68" s="1212">
        <f t="shared" si="27"/>
        <v>0</v>
      </c>
      <c r="U68" s="1212">
        <f t="shared" si="27"/>
        <v>0</v>
      </c>
      <c r="V68" s="2392"/>
      <c r="W68" s="2392"/>
      <c r="X68" s="878"/>
      <c r="Y68" s="3076" t="s">
        <v>4782</v>
      </c>
    </row>
    <row r="69" spans="1:25" ht="92.4">
      <c r="A69" s="3285"/>
      <c r="B69" s="3285"/>
      <c r="C69" s="3285"/>
      <c r="D69" s="3285"/>
      <c r="E69" s="858" t="s">
        <v>4840</v>
      </c>
      <c r="F69" s="844"/>
      <c r="G69" s="857" t="s">
        <v>4754</v>
      </c>
      <c r="H69" s="852"/>
      <c r="I69" s="857" t="s">
        <v>4841</v>
      </c>
      <c r="J69" s="857" t="s">
        <v>2902</v>
      </c>
      <c r="K69" s="857">
        <v>120</v>
      </c>
      <c r="L69" s="869">
        <v>1</v>
      </c>
      <c r="M69" s="2380">
        <v>0</v>
      </c>
      <c r="N69" s="1211">
        <v>0</v>
      </c>
      <c r="O69" s="3290"/>
      <c r="P69" s="2382">
        <v>365285448</v>
      </c>
      <c r="Q69" s="2382">
        <v>365285448</v>
      </c>
      <c r="R69" s="2382">
        <v>0</v>
      </c>
      <c r="S69" s="2382">
        <v>0</v>
      </c>
      <c r="T69" s="1212">
        <f t="shared" si="27"/>
        <v>0</v>
      </c>
      <c r="U69" s="1212">
        <f t="shared" si="27"/>
        <v>0</v>
      </c>
      <c r="V69" s="2393"/>
      <c r="W69" s="2393"/>
      <c r="X69" s="878"/>
      <c r="Y69" s="3285"/>
    </row>
    <row r="70" spans="1:25">
      <c r="A70" s="3076">
        <v>4171</v>
      </c>
      <c r="B70" s="3287"/>
      <c r="C70" s="3251" t="s">
        <v>123</v>
      </c>
      <c r="D70" s="3066" t="s">
        <v>4842</v>
      </c>
      <c r="E70" s="858" t="s">
        <v>4843</v>
      </c>
      <c r="F70" s="844"/>
      <c r="G70" s="872"/>
      <c r="H70" s="852"/>
      <c r="I70" s="872"/>
      <c r="J70" s="872"/>
      <c r="K70" s="857">
        <f t="shared" ref="K70:L70" si="36">+K71</f>
        <v>125</v>
      </c>
      <c r="L70" s="869">
        <f t="shared" si="36"/>
        <v>1</v>
      </c>
      <c r="M70" s="2380">
        <f t="shared" ref="M70:N70" si="37">M71</f>
        <v>0</v>
      </c>
      <c r="N70" s="1211">
        <f t="shared" si="37"/>
        <v>0</v>
      </c>
      <c r="O70" s="3289">
        <f>IF(Q70&gt;0,N70,"na")</f>
        <v>0</v>
      </c>
      <c r="P70" s="2382">
        <f t="shared" ref="P70:S70" si="38">SUM(P71)</f>
        <v>806686197</v>
      </c>
      <c r="Q70" s="2382">
        <f t="shared" si="38"/>
        <v>806686197</v>
      </c>
      <c r="R70" s="2382">
        <f t="shared" si="38"/>
        <v>0</v>
      </c>
      <c r="S70" s="2382">
        <f t="shared" si="38"/>
        <v>0</v>
      </c>
      <c r="T70" s="1212">
        <f t="shared" si="27"/>
        <v>0</v>
      </c>
      <c r="U70" s="1212">
        <f t="shared" si="27"/>
        <v>0</v>
      </c>
      <c r="V70" s="2392"/>
      <c r="W70" s="2392"/>
      <c r="X70" s="878"/>
      <c r="Y70" s="3076" t="s">
        <v>4782</v>
      </c>
    </row>
    <row r="71" spans="1:25" ht="92.4">
      <c r="A71" s="3285"/>
      <c r="B71" s="3285"/>
      <c r="C71" s="3285"/>
      <c r="D71" s="3285"/>
      <c r="E71" s="858" t="s">
        <v>4844</v>
      </c>
      <c r="F71" s="844"/>
      <c r="G71" s="857" t="s">
        <v>4754</v>
      </c>
      <c r="H71" s="852"/>
      <c r="I71" s="857" t="s">
        <v>4845</v>
      </c>
      <c r="J71" s="857" t="s">
        <v>2902</v>
      </c>
      <c r="K71" s="857">
        <v>125</v>
      </c>
      <c r="L71" s="869">
        <v>1</v>
      </c>
      <c r="M71" s="2380">
        <v>0</v>
      </c>
      <c r="N71" s="1211">
        <v>0</v>
      </c>
      <c r="O71" s="3290"/>
      <c r="P71" s="2382">
        <v>806686197</v>
      </c>
      <c r="Q71" s="2382">
        <v>806686197</v>
      </c>
      <c r="R71" s="2382">
        <v>0</v>
      </c>
      <c r="S71" s="2382">
        <v>0</v>
      </c>
      <c r="T71" s="1212">
        <f t="shared" si="27"/>
        <v>0</v>
      </c>
      <c r="U71" s="1212">
        <f t="shared" si="27"/>
        <v>0</v>
      </c>
      <c r="V71" s="2393"/>
      <c r="W71" s="2394"/>
      <c r="X71" s="878"/>
      <c r="Y71" s="3285"/>
    </row>
    <row r="72" spans="1:25">
      <c r="A72" s="3076">
        <v>4171</v>
      </c>
      <c r="B72" s="3287"/>
      <c r="C72" s="3251" t="s">
        <v>123</v>
      </c>
      <c r="D72" s="3066" t="s">
        <v>4846</v>
      </c>
      <c r="E72" s="858" t="s">
        <v>4847</v>
      </c>
      <c r="F72" s="844"/>
      <c r="G72" s="872"/>
      <c r="H72" s="852"/>
      <c r="I72" s="872"/>
      <c r="J72" s="872"/>
      <c r="K72" s="857">
        <f t="shared" ref="K72:L72" si="39">+K73</f>
        <v>100</v>
      </c>
      <c r="L72" s="869">
        <f t="shared" si="39"/>
        <v>0.3</v>
      </c>
      <c r="M72" s="2380">
        <f t="shared" ref="M72:N72" si="40">M73</f>
        <v>0</v>
      </c>
      <c r="N72" s="1211">
        <f t="shared" si="40"/>
        <v>0</v>
      </c>
      <c r="O72" s="3289">
        <f>IF(Q72&gt;0,N72,"na")</f>
        <v>0</v>
      </c>
      <c r="P72" s="2382">
        <f t="shared" ref="P72:S72" si="41">SUM(P73)</f>
        <v>600000000</v>
      </c>
      <c r="Q72" s="2382">
        <f t="shared" si="41"/>
        <v>600000000</v>
      </c>
      <c r="R72" s="2382">
        <f t="shared" si="41"/>
        <v>0</v>
      </c>
      <c r="S72" s="2382">
        <f t="shared" si="41"/>
        <v>0</v>
      </c>
      <c r="T72" s="1212">
        <f t="shared" si="27"/>
        <v>0</v>
      </c>
      <c r="U72" s="1212">
        <f t="shared" si="27"/>
        <v>0</v>
      </c>
      <c r="V72" s="2392"/>
      <c r="W72" s="2392"/>
      <c r="X72" s="878"/>
      <c r="Y72" s="3076" t="s">
        <v>4782</v>
      </c>
    </row>
    <row r="73" spans="1:25" ht="92.4">
      <c r="A73" s="3285"/>
      <c r="B73" s="3285"/>
      <c r="C73" s="3285"/>
      <c r="D73" s="3285"/>
      <c r="E73" s="858" t="s">
        <v>4848</v>
      </c>
      <c r="F73" s="844"/>
      <c r="G73" s="857" t="s">
        <v>4754</v>
      </c>
      <c r="H73" s="852"/>
      <c r="I73" s="857" t="s">
        <v>4849</v>
      </c>
      <c r="J73" s="857" t="s">
        <v>2902</v>
      </c>
      <c r="K73" s="857">
        <v>100</v>
      </c>
      <c r="L73" s="869">
        <v>0.3</v>
      </c>
      <c r="M73" s="2380">
        <v>0</v>
      </c>
      <c r="N73" s="1211">
        <v>0</v>
      </c>
      <c r="O73" s="3290"/>
      <c r="P73" s="2382">
        <v>600000000</v>
      </c>
      <c r="Q73" s="2382">
        <v>600000000</v>
      </c>
      <c r="R73" s="2382">
        <v>0</v>
      </c>
      <c r="S73" s="2382">
        <v>0</v>
      </c>
      <c r="T73" s="1212">
        <f t="shared" si="27"/>
        <v>0</v>
      </c>
      <c r="U73" s="1212">
        <f t="shared" si="27"/>
        <v>0</v>
      </c>
      <c r="V73" s="2393"/>
      <c r="W73" s="2393"/>
      <c r="X73" s="878"/>
      <c r="Y73" s="3285"/>
    </row>
    <row r="74" spans="1:25">
      <c r="A74" s="3076">
        <v>4171</v>
      </c>
      <c r="B74" s="3287"/>
      <c r="C74" s="3251" t="s">
        <v>123</v>
      </c>
      <c r="D74" s="3066" t="s">
        <v>4850</v>
      </c>
      <c r="E74" s="858" t="s">
        <v>4851</v>
      </c>
      <c r="F74" s="844"/>
      <c r="G74" s="872"/>
      <c r="H74" s="852"/>
      <c r="I74" s="872"/>
      <c r="J74" s="872"/>
      <c r="K74" s="857">
        <f t="shared" ref="K74:L74" si="42">+K75</f>
        <v>200</v>
      </c>
      <c r="L74" s="869">
        <f t="shared" si="42"/>
        <v>1</v>
      </c>
      <c r="M74" s="2380">
        <f t="shared" ref="M74:N74" si="43">M75</f>
        <v>0</v>
      </c>
      <c r="N74" s="1211">
        <f t="shared" si="43"/>
        <v>0</v>
      </c>
      <c r="O74" s="3289">
        <f>IF(Q74&gt;0,N74,"na")</f>
        <v>0</v>
      </c>
      <c r="P74" s="2382">
        <f t="shared" ref="P74:S74" si="44">SUM(P75)</f>
        <v>677225698</v>
      </c>
      <c r="Q74" s="2382">
        <f t="shared" si="44"/>
        <v>677225698</v>
      </c>
      <c r="R74" s="2382">
        <f t="shared" si="44"/>
        <v>0</v>
      </c>
      <c r="S74" s="2382">
        <f t="shared" si="44"/>
        <v>0</v>
      </c>
      <c r="T74" s="1212">
        <f t="shared" si="27"/>
        <v>0</v>
      </c>
      <c r="U74" s="1212">
        <f t="shared" si="27"/>
        <v>0</v>
      </c>
      <c r="V74" s="2392"/>
      <c r="W74" s="2392"/>
      <c r="X74" s="878"/>
      <c r="Y74" s="3076" t="s">
        <v>4782</v>
      </c>
    </row>
    <row r="75" spans="1:25" ht="92.4">
      <c r="A75" s="3285"/>
      <c r="B75" s="3285"/>
      <c r="C75" s="3285"/>
      <c r="D75" s="3285"/>
      <c r="E75" s="858" t="s">
        <v>4852</v>
      </c>
      <c r="F75" s="844"/>
      <c r="G75" s="857" t="s">
        <v>4853</v>
      </c>
      <c r="H75" s="852"/>
      <c r="I75" s="857" t="s">
        <v>4854</v>
      </c>
      <c r="J75" s="857" t="s">
        <v>2902</v>
      </c>
      <c r="K75" s="857">
        <v>200</v>
      </c>
      <c r="L75" s="869">
        <v>1</v>
      </c>
      <c r="M75" s="2380">
        <v>0</v>
      </c>
      <c r="N75" s="1211">
        <v>0</v>
      </c>
      <c r="O75" s="3290"/>
      <c r="P75" s="2382">
        <v>677225698</v>
      </c>
      <c r="Q75" s="2382">
        <v>677225698</v>
      </c>
      <c r="R75" s="2382">
        <v>0</v>
      </c>
      <c r="S75" s="2382">
        <v>0</v>
      </c>
      <c r="T75" s="1212">
        <f t="shared" si="27"/>
        <v>0</v>
      </c>
      <c r="U75" s="1212">
        <f t="shared" si="27"/>
        <v>0</v>
      </c>
      <c r="V75" s="2393"/>
      <c r="W75" s="2393"/>
      <c r="X75" s="878"/>
      <c r="Y75" s="3285"/>
    </row>
    <row r="76" spans="1:25">
      <c r="A76" s="3076">
        <v>4171</v>
      </c>
      <c r="B76" s="3287"/>
      <c r="C76" s="3251" t="s">
        <v>123</v>
      </c>
      <c r="D76" s="3066" t="s">
        <v>4855</v>
      </c>
      <c r="E76" s="858" t="s">
        <v>4856</v>
      </c>
      <c r="F76" s="844"/>
      <c r="G76" s="872"/>
      <c r="H76" s="852"/>
      <c r="I76" s="872"/>
      <c r="J76" s="872"/>
      <c r="K76" s="857">
        <f t="shared" ref="K76:L76" si="45">+K77</f>
        <v>88</v>
      </c>
      <c r="L76" s="869">
        <f t="shared" si="45"/>
        <v>1</v>
      </c>
      <c r="M76" s="2380">
        <f t="shared" ref="M76:N76" si="46">M77</f>
        <v>0</v>
      </c>
      <c r="N76" s="1211">
        <f t="shared" si="46"/>
        <v>0</v>
      </c>
      <c r="O76" s="3289">
        <f>IF(Q76&gt;0,N76,"na")</f>
        <v>0</v>
      </c>
      <c r="P76" s="2382">
        <f t="shared" ref="P76:S76" si="47">SUM(P77)</f>
        <v>250000000</v>
      </c>
      <c r="Q76" s="2382">
        <f t="shared" si="47"/>
        <v>250000000</v>
      </c>
      <c r="R76" s="2382">
        <f t="shared" si="47"/>
        <v>0</v>
      </c>
      <c r="S76" s="2382">
        <f t="shared" si="47"/>
        <v>0</v>
      </c>
      <c r="T76" s="1212">
        <f t="shared" si="27"/>
        <v>0</v>
      </c>
      <c r="U76" s="1212">
        <f t="shared" si="27"/>
        <v>0</v>
      </c>
      <c r="V76" s="2392"/>
      <c r="W76" s="2392"/>
      <c r="X76" s="878"/>
      <c r="Y76" s="3076" t="s">
        <v>4782</v>
      </c>
    </row>
    <row r="77" spans="1:25" ht="92.4">
      <c r="A77" s="3285"/>
      <c r="B77" s="3285"/>
      <c r="C77" s="3285"/>
      <c r="D77" s="3285"/>
      <c r="E77" s="858" t="s">
        <v>4857</v>
      </c>
      <c r="F77" s="844"/>
      <c r="G77" s="857" t="s">
        <v>4853</v>
      </c>
      <c r="H77" s="852"/>
      <c r="I77" s="857" t="s">
        <v>4858</v>
      </c>
      <c r="J77" s="857" t="s">
        <v>2902</v>
      </c>
      <c r="K77" s="857">
        <v>88</v>
      </c>
      <c r="L77" s="869">
        <v>1</v>
      </c>
      <c r="M77" s="2380">
        <v>0</v>
      </c>
      <c r="N77" s="1211">
        <v>0</v>
      </c>
      <c r="O77" s="3290"/>
      <c r="P77" s="2382">
        <v>250000000</v>
      </c>
      <c r="Q77" s="2382">
        <v>250000000</v>
      </c>
      <c r="R77" s="2382">
        <v>0</v>
      </c>
      <c r="S77" s="2382">
        <v>0</v>
      </c>
      <c r="T77" s="1212">
        <f t="shared" ref="T77:U92" si="48">IF(Q77=0,0,R77/Q77)</f>
        <v>0</v>
      </c>
      <c r="U77" s="1212">
        <f t="shared" si="48"/>
        <v>0</v>
      </c>
      <c r="V77" s="2393"/>
      <c r="W77" s="2394"/>
      <c r="X77" s="878"/>
      <c r="Y77" s="3285"/>
    </row>
    <row r="78" spans="1:25">
      <c r="A78" s="3076">
        <v>4171</v>
      </c>
      <c r="B78" s="3287"/>
      <c r="C78" s="3251" t="s">
        <v>123</v>
      </c>
      <c r="D78" s="3066" t="s">
        <v>4859</v>
      </c>
      <c r="E78" s="858" t="s">
        <v>4860</v>
      </c>
      <c r="F78" s="844"/>
      <c r="G78" s="872"/>
      <c r="H78" s="852"/>
      <c r="I78" s="872"/>
      <c r="J78" s="872"/>
      <c r="K78" s="857">
        <f t="shared" ref="K78:L78" si="49">+K79</f>
        <v>100</v>
      </c>
      <c r="L78" s="869">
        <f t="shared" si="49"/>
        <v>1</v>
      </c>
      <c r="M78" s="2380">
        <f t="shared" ref="M78:N78" si="50">M79</f>
        <v>0</v>
      </c>
      <c r="N78" s="1211">
        <f t="shared" si="50"/>
        <v>0</v>
      </c>
      <c r="O78" s="3289">
        <f>IF(Q78&gt;0,N78,"na")</f>
        <v>0</v>
      </c>
      <c r="P78" s="2382">
        <f t="shared" ref="P78:S78" si="51">SUM(P79)</f>
        <v>400000000</v>
      </c>
      <c r="Q78" s="2382">
        <f t="shared" si="51"/>
        <v>400000000</v>
      </c>
      <c r="R78" s="2382">
        <f t="shared" si="51"/>
        <v>0</v>
      </c>
      <c r="S78" s="2382">
        <f t="shared" si="51"/>
        <v>0</v>
      </c>
      <c r="T78" s="1212">
        <f t="shared" si="48"/>
        <v>0</v>
      </c>
      <c r="U78" s="1212">
        <f t="shared" si="48"/>
        <v>0</v>
      </c>
      <c r="V78" s="2392"/>
      <c r="W78" s="2392"/>
      <c r="X78" s="878"/>
      <c r="Y78" s="3076" t="s">
        <v>4782</v>
      </c>
    </row>
    <row r="79" spans="1:25" ht="92.4">
      <c r="A79" s="3285"/>
      <c r="B79" s="3285"/>
      <c r="C79" s="3285"/>
      <c r="D79" s="3285"/>
      <c r="E79" s="858" t="s">
        <v>4861</v>
      </c>
      <c r="F79" s="844"/>
      <c r="G79" s="857" t="s">
        <v>4754</v>
      </c>
      <c r="H79" s="852"/>
      <c r="I79" s="857" t="s">
        <v>4849</v>
      </c>
      <c r="J79" s="857" t="s">
        <v>2902</v>
      </c>
      <c r="K79" s="857">
        <v>100</v>
      </c>
      <c r="L79" s="869">
        <v>1</v>
      </c>
      <c r="M79" s="2380">
        <v>0</v>
      </c>
      <c r="N79" s="1211">
        <v>0</v>
      </c>
      <c r="O79" s="3290"/>
      <c r="P79" s="2382">
        <v>400000000</v>
      </c>
      <c r="Q79" s="2382">
        <v>400000000</v>
      </c>
      <c r="R79" s="2382">
        <v>0</v>
      </c>
      <c r="S79" s="2382">
        <v>0</v>
      </c>
      <c r="T79" s="1212">
        <f t="shared" si="48"/>
        <v>0</v>
      </c>
      <c r="U79" s="1212">
        <f t="shared" si="48"/>
        <v>0</v>
      </c>
      <c r="V79" s="2393"/>
      <c r="W79" s="2393"/>
      <c r="X79" s="878"/>
      <c r="Y79" s="3285"/>
    </row>
    <row r="80" spans="1:25">
      <c r="A80" s="3076">
        <v>4171</v>
      </c>
      <c r="B80" s="3287"/>
      <c r="C80" s="3251" t="s">
        <v>123</v>
      </c>
      <c r="D80" s="3066" t="s">
        <v>4862</v>
      </c>
      <c r="E80" s="858" t="s">
        <v>4863</v>
      </c>
      <c r="F80" s="844"/>
      <c r="G80" s="872"/>
      <c r="H80" s="852"/>
      <c r="I80" s="872"/>
      <c r="J80" s="872"/>
      <c r="K80" s="857">
        <f t="shared" ref="K80:L80" si="52">+K81</f>
        <v>150</v>
      </c>
      <c r="L80" s="869">
        <f t="shared" si="52"/>
        <v>1</v>
      </c>
      <c r="M80" s="2380">
        <f t="shared" ref="M80:N80" si="53">M81</f>
        <v>0</v>
      </c>
      <c r="N80" s="1211">
        <f t="shared" si="53"/>
        <v>0</v>
      </c>
      <c r="O80" s="3289">
        <f>IF(Q80&gt;0,N80,"na")</f>
        <v>0</v>
      </c>
      <c r="P80" s="2382">
        <f t="shared" ref="P80:S80" si="54">SUM(P81)</f>
        <v>536751488</v>
      </c>
      <c r="Q80" s="2382">
        <f t="shared" si="54"/>
        <v>536751488</v>
      </c>
      <c r="R80" s="2382">
        <f t="shared" si="54"/>
        <v>0</v>
      </c>
      <c r="S80" s="2382">
        <f t="shared" si="54"/>
        <v>0</v>
      </c>
      <c r="T80" s="1212">
        <f t="shared" si="48"/>
        <v>0</v>
      </c>
      <c r="U80" s="1212">
        <f t="shared" si="48"/>
        <v>0</v>
      </c>
      <c r="V80" s="2392"/>
      <c r="W80" s="2392"/>
      <c r="X80" s="878"/>
      <c r="Y80" s="3076" t="s">
        <v>4782</v>
      </c>
    </row>
    <row r="81" spans="1:25" ht="92.4">
      <c r="A81" s="3285"/>
      <c r="B81" s="3285"/>
      <c r="C81" s="3285"/>
      <c r="D81" s="3285"/>
      <c r="E81" s="858" t="s">
        <v>4864</v>
      </c>
      <c r="F81" s="844"/>
      <c r="G81" s="857" t="s">
        <v>4754</v>
      </c>
      <c r="H81" s="852"/>
      <c r="I81" s="857" t="s">
        <v>4865</v>
      </c>
      <c r="J81" s="857" t="s">
        <v>2902</v>
      </c>
      <c r="K81" s="857">
        <v>150</v>
      </c>
      <c r="L81" s="869">
        <v>1</v>
      </c>
      <c r="M81" s="2380">
        <v>0</v>
      </c>
      <c r="N81" s="1211">
        <v>0</v>
      </c>
      <c r="O81" s="3290"/>
      <c r="P81" s="2382">
        <v>536751488</v>
      </c>
      <c r="Q81" s="2382">
        <v>536751488</v>
      </c>
      <c r="R81" s="2382">
        <v>0</v>
      </c>
      <c r="S81" s="2382">
        <v>0</v>
      </c>
      <c r="T81" s="1212">
        <f t="shared" si="48"/>
        <v>0</v>
      </c>
      <c r="U81" s="1212">
        <f t="shared" si="48"/>
        <v>0</v>
      </c>
      <c r="V81" s="2393"/>
      <c r="W81" s="2393"/>
      <c r="X81" s="878"/>
      <c r="Y81" s="3285"/>
    </row>
    <row r="82" spans="1:25">
      <c r="A82" s="3076">
        <v>4171</v>
      </c>
      <c r="B82" s="3287"/>
      <c r="C82" s="3251" t="s">
        <v>123</v>
      </c>
      <c r="D82" s="3066" t="s">
        <v>4866</v>
      </c>
      <c r="E82" s="858" t="s">
        <v>4867</v>
      </c>
      <c r="F82" s="844"/>
      <c r="G82" s="872"/>
      <c r="H82" s="852"/>
      <c r="I82" s="872"/>
      <c r="J82" s="872"/>
      <c r="K82" s="857">
        <f t="shared" ref="K82:L82" si="55">+K83</f>
        <v>100</v>
      </c>
      <c r="L82" s="869">
        <f t="shared" si="55"/>
        <v>1</v>
      </c>
      <c r="M82" s="2380">
        <f t="shared" ref="M82:N82" si="56">M83</f>
        <v>0</v>
      </c>
      <c r="N82" s="1211">
        <f t="shared" si="56"/>
        <v>0</v>
      </c>
      <c r="O82" s="3289">
        <f>IF(Q82&gt;0,N82,"na")</f>
        <v>0</v>
      </c>
      <c r="P82" s="2382">
        <f t="shared" ref="P82:S82" si="57">SUM(P83)</f>
        <v>528375448</v>
      </c>
      <c r="Q82" s="2382">
        <f t="shared" si="57"/>
        <v>528375448</v>
      </c>
      <c r="R82" s="2382">
        <f t="shared" si="57"/>
        <v>0</v>
      </c>
      <c r="S82" s="2382">
        <f t="shared" si="57"/>
        <v>0</v>
      </c>
      <c r="T82" s="1212">
        <f t="shared" si="48"/>
        <v>0</v>
      </c>
      <c r="U82" s="1212">
        <f t="shared" si="48"/>
        <v>0</v>
      </c>
      <c r="V82" s="2392"/>
      <c r="W82" s="2392"/>
      <c r="X82" s="878"/>
      <c r="Y82" s="3076" t="s">
        <v>4782</v>
      </c>
    </row>
    <row r="83" spans="1:25" ht="92.4">
      <c r="A83" s="3285"/>
      <c r="B83" s="3285"/>
      <c r="C83" s="3285"/>
      <c r="D83" s="3285"/>
      <c r="E83" s="858" t="s">
        <v>4868</v>
      </c>
      <c r="F83" s="844"/>
      <c r="G83" s="857" t="s">
        <v>4754</v>
      </c>
      <c r="H83" s="852"/>
      <c r="I83" s="857" t="s">
        <v>4849</v>
      </c>
      <c r="J83" s="857" t="s">
        <v>2902</v>
      </c>
      <c r="K83" s="857">
        <v>100</v>
      </c>
      <c r="L83" s="869">
        <v>1</v>
      </c>
      <c r="M83" s="2380">
        <v>0</v>
      </c>
      <c r="N83" s="1211">
        <v>0</v>
      </c>
      <c r="O83" s="3290"/>
      <c r="P83" s="2382">
        <v>528375448</v>
      </c>
      <c r="Q83" s="2382">
        <v>528375448</v>
      </c>
      <c r="R83" s="2382">
        <v>0</v>
      </c>
      <c r="S83" s="2382">
        <v>0</v>
      </c>
      <c r="T83" s="1212">
        <f t="shared" si="48"/>
        <v>0</v>
      </c>
      <c r="U83" s="1212">
        <f t="shared" si="48"/>
        <v>0</v>
      </c>
      <c r="V83" s="2393"/>
      <c r="W83" s="2393"/>
      <c r="X83" s="878"/>
      <c r="Y83" s="3285"/>
    </row>
    <row r="84" spans="1:25">
      <c r="A84" s="3076">
        <v>4171</v>
      </c>
      <c r="B84" s="3287"/>
      <c r="C84" s="3251" t="s">
        <v>123</v>
      </c>
      <c r="D84" s="3066" t="s">
        <v>4869</v>
      </c>
      <c r="E84" s="858" t="s">
        <v>4870</v>
      </c>
      <c r="F84" s="844"/>
      <c r="G84" s="872"/>
      <c r="H84" s="852"/>
      <c r="I84" s="872"/>
      <c r="J84" s="872"/>
      <c r="K84" s="857">
        <f>K85</f>
        <v>200</v>
      </c>
      <c r="L84" s="869">
        <f>+L85</f>
        <v>1</v>
      </c>
      <c r="M84" s="2380">
        <f t="shared" ref="M84:N84" si="58">M85</f>
        <v>0</v>
      </c>
      <c r="N84" s="1211">
        <f t="shared" si="58"/>
        <v>0</v>
      </c>
      <c r="O84" s="3289">
        <f>IF(Q84&gt;0,N84,"na")</f>
        <v>0</v>
      </c>
      <c r="P84" s="2382">
        <f t="shared" ref="P84:S84" si="59">SUM(P85)</f>
        <v>655306000</v>
      </c>
      <c r="Q84" s="2382">
        <f t="shared" si="59"/>
        <v>655306000</v>
      </c>
      <c r="R84" s="2382">
        <f t="shared" si="59"/>
        <v>0</v>
      </c>
      <c r="S84" s="2382">
        <f t="shared" si="59"/>
        <v>0</v>
      </c>
      <c r="T84" s="1212">
        <f t="shared" si="48"/>
        <v>0</v>
      </c>
      <c r="U84" s="1212">
        <f t="shared" si="48"/>
        <v>0</v>
      </c>
      <c r="V84" s="2392"/>
      <c r="W84" s="2392"/>
      <c r="X84" s="878"/>
      <c r="Y84" s="3076" t="s">
        <v>4782</v>
      </c>
    </row>
    <row r="85" spans="1:25" ht="92.4">
      <c r="A85" s="3285"/>
      <c r="B85" s="3285"/>
      <c r="C85" s="3285"/>
      <c r="D85" s="3285"/>
      <c r="E85" s="858" t="s">
        <v>4871</v>
      </c>
      <c r="F85" s="844"/>
      <c r="G85" s="857" t="s">
        <v>4853</v>
      </c>
      <c r="H85" s="852"/>
      <c r="I85" s="857" t="s">
        <v>4854</v>
      </c>
      <c r="J85" s="857" t="s">
        <v>2902</v>
      </c>
      <c r="K85" s="857">
        <v>200</v>
      </c>
      <c r="L85" s="869">
        <v>1</v>
      </c>
      <c r="M85" s="2380">
        <v>0</v>
      </c>
      <c r="N85" s="1211">
        <v>0</v>
      </c>
      <c r="O85" s="3290"/>
      <c r="P85" s="2382">
        <v>655306000</v>
      </c>
      <c r="Q85" s="2382">
        <v>655306000</v>
      </c>
      <c r="R85" s="2382">
        <v>0</v>
      </c>
      <c r="S85" s="2382">
        <v>0</v>
      </c>
      <c r="T85" s="1212">
        <f t="shared" si="48"/>
        <v>0</v>
      </c>
      <c r="U85" s="1212">
        <f t="shared" si="48"/>
        <v>0</v>
      </c>
      <c r="V85" s="2393"/>
      <c r="W85" s="2393"/>
      <c r="X85" s="878"/>
      <c r="Y85" s="3285"/>
    </row>
    <row r="86" spans="1:25">
      <c r="A86" s="3076">
        <v>4171</v>
      </c>
      <c r="B86" s="3287"/>
      <c r="C86" s="3251" t="s">
        <v>123</v>
      </c>
      <c r="D86" s="3066" t="s">
        <v>4872</v>
      </c>
      <c r="E86" s="858" t="s">
        <v>4873</v>
      </c>
      <c r="F86" s="844"/>
      <c r="G86" s="872"/>
      <c r="H86" s="852"/>
      <c r="I86" s="872"/>
      <c r="J86" s="872"/>
      <c r="K86" s="857">
        <f t="shared" ref="K86:L86" si="60">+K87</f>
        <v>75</v>
      </c>
      <c r="L86" s="869">
        <f t="shared" si="60"/>
        <v>1</v>
      </c>
      <c r="M86" s="2380">
        <f t="shared" ref="M86:N86" si="61">M87</f>
        <v>0</v>
      </c>
      <c r="N86" s="1211">
        <f t="shared" si="61"/>
        <v>0</v>
      </c>
      <c r="O86" s="3289">
        <f>IF(Q86&gt;0,N86,"na")</f>
        <v>0</v>
      </c>
      <c r="P86" s="2382">
        <f t="shared" ref="P86:S86" si="62">SUM(P87)</f>
        <v>227943000</v>
      </c>
      <c r="Q86" s="2382">
        <f t="shared" si="62"/>
        <v>227943000</v>
      </c>
      <c r="R86" s="2382">
        <f t="shared" si="62"/>
        <v>0</v>
      </c>
      <c r="S86" s="2382">
        <f t="shared" si="62"/>
        <v>0</v>
      </c>
      <c r="T86" s="1212">
        <f t="shared" si="48"/>
        <v>0</v>
      </c>
      <c r="U86" s="1212">
        <f t="shared" si="48"/>
        <v>0</v>
      </c>
      <c r="V86" s="2392"/>
      <c r="W86" s="2392"/>
      <c r="X86" s="878"/>
      <c r="Y86" s="3076" t="s">
        <v>4782</v>
      </c>
    </row>
    <row r="87" spans="1:25" ht="92.4">
      <c r="A87" s="3285"/>
      <c r="B87" s="3285"/>
      <c r="C87" s="3285"/>
      <c r="D87" s="3285"/>
      <c r="E87" s="858" t="s">
        <v>4874</v>
      </c>
      <c r="F87" s="844"/>
      <c r="G87" s="857" t="s">
        <v>4754</v>
      </c>
      <c r="H87" s="852"/>
      <c r="I87" s="857" t="s">
        <v>4875</v>
      </c>
      <c r="J87" s="857" t="s">
        <v>2902</v>
      </c>
      <c r="K87" s="857">
        <v>75</v>
      </c>
      <c r="L87" s="869">
        <v>1</v>
      </c>
      <c r="M87" s="2380">
        <v>0</v>
      </c>
      <c r="N87" s="1211">
        <v>0</v>
      </c>
      <c r="O87" s="3290"/>
      <c r="P87" s="2382">
        <v>227943000</v>
      </c>
      <c r="Q87" s="2382">
        <v>227943000</v>
      </c>
      <c r="R87" s="2382">
        <v>0</v>
      </c>
      <c r="S87" s="2382">
        <v>0</v>
      </c>
      <c r="T87" s="1212">
        <f t="shared" si="48"/>
        <v>0</v>
      </c>
      <c r="U87" s="1212">
        <f t="shared" si="48"/>
        <v>0</v>
      </c>
      <c r="V87" s="2393"/>
      <c r="W87" s="2393"/>
      <c r="X87" s="878"/>
      <c r="Y87" s="3285"/>
    </row>
    <row r="88" spans="1:25">
      <c r="A88" s="3076">
        <v>4171</v>
      </c>
      <c r="B88" s="3292"/>
      <c r="C88" s="3076" t="s">
        <v>123</v>
      </c>
      <c r="D88" s="3066" t="s">
        <v>4876</v>
      </c>
      <c r="E88" s="858" t="s">
        <v>4877</v>
      </c>
      <c r="F88" s="844"/>
      <c r="G88" s="872"/>
      <c r="H88" s="852"/>
      <c r="I88" s="872"/>
      <c r="J88" s="872"/>
      <c r="K88" s="857">
        <f t="shared" ref="K88:L88" si="63">+K89</f>
        <v>130</v>
      </c>
      <c r="L88" s="869">
        <f t="shared" si="63"/>
        <v>1</v>
      </c>
      <c r="M88" s="2380">
        <f t="shared" ref="M88:N88" si="64">M89</f>
        <v>0</v>
      </c>
      <c r="N88" s="1211">
        <f t="shared" si="64"/>
        <v>0</v>
      </c>
      <c r="O88" s="3289">
        <f>IF(Q88&gt;0,N88,"na")</f>
        <v>0</v>
      </c>
      <c r="P88" s="2382">
        <f t="shared" ref="P88:S88" si="65">SUM(P89)</f>
        <v>726336820</v>
      </c>
      <c r="Q88" s="2382">
        <f t="shared" si="65"/>
        <v>726336820</v>
      </c>
      <c r="R88" s="2382">
        <f t="shared" si="65"/>
        <v>0</v>
      </c>
      <c r="S88" s="2382">
        <f t="shared" si="65"/>
        <v>0</v>
      </c>
      <c r="T88" s="1212">
        <f t="shared" si="48"/>
        <v>0</v>
      </c>
      <c r="U88" s="1212">
        <f t="shared" si="48"/>
        <v>0</v>
      </c>
      <c r="V88" s="2392"/>
      <c r="W88" s="2392"/>
      <c r="X88" s="878"/>
      <c r="Y88" s="3076" t="s">
        <v>4782</v>
      </c>
    </row>
    <row r="89" spans="1:25" ht="92.4">
      <c r="A89" s="3285"/>
      <c r="B89" s="3285"/>
      <c r="C89" s="3285"/>
      <c r="D89" s="3285"/>
      <c r="E89" s="858" t="s">
        <v>4878</v>
      </c>
      <c r="F89" s="844"/>
      <c r="G89" s="857" t="s">
        <v>4754</v>
      </c>
      <c r="H89" s="852"/>
      <c r="I89" s="857" t="s">
        <v>4833</v>
      </c>
      <c r="J89" s="857" t="s">
        <v>2902</v>
      </c>
      <c r="K89" s="857">
        <v>130</v>
      </c>
      <c r="L89" s="869">
        <v>1</v>
      </c>
      <c r="M89" s="2380">
        <v>0</v>
      </c>
      <c r="N89" s="1211">
        <v>0</v>
      </c>
      <c r="O89" s="3290"/>
      <c r="P89" s="2382">
        <v>726336820</v>
      </c>
      <c r="Q89" s="2382">
        <v>726336820</v>
      </c>
      <c r="R89" s="2382">
        <v>0</v>
      </c>
      <c r="S89" s="2382">
        <v>0</v>
      </c>
      <c r="T89" s="1212">
        <f t="shared" si="48"/>
        <v>0</v>
      </c>
      <c r="U89" s="1212">
        <f t="shared" si="48"/>
        <v>0</v>
      </c>
      <c r="V89" s="2393"/>
      <c r="W89" s="2393"/>
      <c r="X89" s="878"/>
      <c r="Y89" s="3285"/>
    </row>
    <row r="90" spans="1:25">
      <c r="A90" s="3076">
        <v>4171</v>
      </c>
      <c r="B90" s="3292"/>
      <c r="C90" s="3076" t="s">
        <v>123</v>
      </c>
      <c r="D90" s="3066" t="s">
        <v>4879</v>
      </c>
      <c r="E90" s="858" t="s">
        <v>4880</v>
      </c>
      <c r="F90" s="844"/>
      <c r="G90" s="872"/>
      <c r="H90" s="852"/>
      <c r="I90" s="872"/>
      <c r="J90" s="872"/>
      <c r="K90" s="857">
        <f t="shared" ref="K90:L90" si="66">+K91</f>
        <v>15</v>
      </c>
      <c r="L90" s="869">
        <f t="shared" si="66"/>
        <v>1</v>
      </c>
      <c r="M90" s="2380">
        <f t="shared" ref="M90:N90" si="67">M91</f>
        <v>0</v>
      </c>
      <c r="N90" s="1211">
        <f t="shared" si="67"/>
        <v>0</v>
      </c>
      <c r="O90" s="3289">
        <f>IF(Q90&gt;0,N90,"na")</f>
        <v>0</v>
      </c>
      <c r="P90" s="2382">
        <f t="shared" ref="P90:S90" si="68">SUM(P91)</f>
        <v>25000000</v>
      </c>
      <c r="Q90" s="2382">
        <f t="shared" si="68"/>
        <v>25000000</v>
      </c>
      <c r="R90" s="2382">
        <f t="shared" si="68"/>
        <v>0</v>
      </c>
      <c r="S90" s="2382">
        <f t="shared" si="68"/>
        <v>0</v>
      </c>
      <c r="T90" s="1212">
        <f t="shared" si="48"/>
        <v>0</v>
      </c>
      <c r="U90" s="1212">
        <f t="shared" si="48"/>
        <v>0</v>
      </c>
      <c r="V90" s="2392"/>
      <c r="W90" s="2392"/>
      <c r="X90" s="878"/>
      <c r="Y90" s="3076" t="s">
        <v>4782</v>
      </c>
    </row>
    <row r="91" spans="1:25" ht="92.4">
      <c r="A91" s="3285"/>
      <c r="B91" s="3285"/>
      <c r="C91" s="3285"/>
      <c r="D91" s="3285"/>
      <c r="E91" s="858" t="s">
        <v>4881</v>
      </c>
      <c r="F91" s="844"/>
      <c r="G91" s="857" t="s">
        <v>4754</v>
      </c>
      <c r="H91" s="852"/>
      <c r="I91" s="857" t="s">
        <v>4882</v>
      </c>
      <c r="J91" s="857" t="s">
        <v>2902</v>
      </c>
      <c r="K91" s="857">
        <v>15</v>
      </c>
      <c r="L91" s="869">
        <v>1</v>
      </c>
      <c r="M91" s="2380">
        <v>0</v>
      </c>
      <c r="N91" s="1211">
        <v>0</v>
      </c>
      <c r="O91" s="3290"/>
      <c r="P91" s="2382">
        <v>25000000</v>
      </c>
      <c r="Q91" s="2382">
        <v>25000000</v>
      </c>
      <c r="R91" s="2382">
        <v>0</v>
      </c>
      <c r="S91" s="2382">
        <v>0</v>
      </c>
      <c r="T91" s="1212">
        <f t="shared" si="48"/>
        <v>0</v>
      </c>
      <c r="U91" s="1212">
        <f t="shared" si="48"/>
        <v>0</v>
      </c>
      <c r="V91" s="2393"/>
      <c r="W91" s="2394"/>
      <c r="X91" s="878"/>
      <c r="Y91" s="3285"/>
    </row>
    <row r="92" spans="1:25">
      <c r="A92" s="3076">
        <v>4171</v>
      </c>
      <c r="B92" s="3287"/>
      <c r="C92" s="3251" t="s">
        <v>123</v>
      </c>
      <c r="D92" s="3066" t="s">
        <v>4883</v>
      </c>
      <c r="E92" s="858" t="s">
        <v>4884</v>
      </c>
      <c r="F92" s="844"/>
      <c r="G92" s="872"/>
      <c r="H92" s="852"/>
      <c r="I92" s="872"/>
      <c r="J92" s="872"/>
      <c r="K92" s="857">
        <f t="shared" ref="K92:L92" si="69">+K93</f>
        <v>60</v>
      </c>
      <c r="L92" s="869">
        <f t="shared" si="69"/>
        <v>1</v>
      </c>
      <c r="M92" s="2380">
        <f t="shared" ref="M92:N92" si="70">M93</f>
        <v>0</v>
      </c>
      <c r="N92" s="1211">
        <f t="shared" si="70"/>
        <v>0</v>
      </c>
      <c r="O92" s="3289">
        <f>IF(Q92&gt;0,N92,"na")</f>
        <v>0</v>
      </c>
      <c r="P92" s="2382">
        <f t="shared" ref="P92:S92" si="71">SUM(P93)</f>
        <v>291036528</v>
      </c>
      <c r="Q92" s="2382">
        <f t="shared" si="71"/>
        <v>291036528</v>
      </c>
      <c r="R92" s="2382">
        <f t="shared" si="71"/>
        <v>0</v>
      </c>
      <c r="S92" s="2382">
        <f t="shared" si="71"/>
        <v>0</v>
      </c>
      <c r="T92" s="1212">
        <f t="shared" si="48"/>
        <v>0</v>
      </c>
      <c r="U92" s="1212">
        <f t="shared" si="48"/>
        <v>0</v>
      </c>
      <c r="V92" s="2392"/>
      <c r="W92" s="2392"/>
      <c r="X92" s="878"/>
      <c r="Y92" s="3076" t="s">
        <v>4782</v>
      </c>
    </row>
    <row r="93" spans="1:25" ht="92.4">
      <c r="A93" s="3285"/>
      <c r="B93" s="3285"/>
      <c r="C93" s="3285"/>
      <c r="D93" s="3285"/>
      <c r="E93" s="858" t="s">
        <v>4885</v>
      </c>
      <c r="F93" s="844"/>
      <c r="G93" s="857" t="s">
        <v>4754</v>
      </c>
      <c r="H93" s="852"/>
      <c r="I93" s="857" t="s">
        <v>4886</v>
      </c>
      <c r="J93" s="857" t="s">
        <v>2902</v>
      </c>
      <c r="K93" s="857">
        <v>60</v>
      </c>
      <c r="L93" s="869">
        <v>1</v>
      </c>
      <c r="M93" s="2380">
        <v>0</v>
      </c>
      <c r="N93" s="1211">
        <v>0</v>
      </c>
      <c r="O93" s="3290"/>
      <c r="P93" s="2382">
        <v>291036528</v>
      </c>
      <c r="Q93" s="2382">
        <v>291036528</v>
      </c>
      <c r="R93" s="2382">
        <v>0</v>
      </c>
      <c r="S93" s="2382">
        <v>0</v>
      </c>
      <c r="T93" s="1212">
        <f t="shared" ref="T93:U99" si="72">IF(Q93=0,0,R93/Q93)</f>
        <v>0</v>
      </c>
      <c r="U93" s="1212">
        <f t="shared" si="72"/>
        <v>0</v>
      </c>
      <c r="V93" s="2393"/>
      <c r="W93" s="2394"/>
      <c r="X93" s="878"/>
      <c r="Y93" s="3285"/>
    </row>
    <row r="94" spans="1:25">
      <c r="A94" s="3076">
        <v>4171</v>
      </c>
      <c r="B94" s="3292"/>
      <c r="C94" s="3076" t="s">
        <v>123</v>
      </c>
      <c r="D94" s="3066" t="s">
        <v>4887</v>
      </c>
      <c r="E94" s="858" t="s">
        <v>4888</v>
      </c>
      <c r="F94" s="844"/>
      <c r="G94" s="872"/>
      <c r="H94" s="852"/>
      <c r="I94" s="872"/>
      <c r="J94" s="872"/>
      <c r="K94" s="857">
        <f t="shared" ref="K94:L94" si="73">+K95</f>
        <v>125</v>
      </c>
      <c r="L94" s="869">
        <f t="shared" si="73"/>
        <v>1</v>
      </c>
      <c r="M94" s="2380">
        <f t="shared" ref="M94:N94" si="74">M95</f>
        <v>0</v>
      </c>
      <c r="N94" s="1211">
        <f t="shared" si="74"/>
        <v>0</v>
      </c>
      <c r="O94" s="3289">
        <f>IF(Q94&gt;0,N94,"na")</f>
        <v>0</v>
      </c>
      <c r="P94" s="2382">
        <f t="shared" ref="P94:S94" si="75">SUM(P95)</f>
        <v>570625195</v>
      </c>
      <c r="Q94" s="2382">
        <f t="shared" si="75"/>
        <v>570625195</v>
      </c>
      <c r="R94" s="2382">
        <f t="shared" si="75"/>
        <v>0</v>
      </c>
      <c r="S94" s="2382">
        <f t="shared" si="75"/>
        <v>0</v>
      </c>
      <c r="T94" s="1212">
        <f t="shared" si="72"/>
        <v>0</v>
      </c>
      <c r="U94" s="1212">
        <f t="shared" si="72"/>
        <v>0</v>
      </c>
      <c r="V94" s="2392"/>
      <c r="W94" s="2392"/>
      <c r="X94" s="878"/>
      <c r="Y94" s="3076" t="s">
        <v>4782</v>
      </c>
    </row>
    <row r="95" spans="1:25" ht="92.4">
      <c r="A95" s="3285"/>
      <c r="B95" s="3285"/>
      <c r="C95" s="3285"/>
      <c r="D95" s="3285"/>
      <c r="E95" s="858" t="s">
        <v>4889</v>
      </c>
      <c r="F95" s="844"/>
      <c r="G95" s="857" t="s">
        <v>4754</v>
      </c>
      <c r="H95" s="852"/>
      <c r="I95" s="857" t="s">
        <v>4845</v>
      </c>
      <c r="J95" s="857" t="s">
        <v>2902</v>
      </c>
      <c r="K95" s="857">
        <v>125</v>
      </c>
      <c r="L95" s="869">
        <v>1</v>
      </c>
      <c r="M95" s="2380">
        <v>0</v>
      </c>
      <c r="N95" s="1211">
        <v>0</v>
      </c>
      <c r="O95" s="3290"/>
      <c r="P95" s="2382">
        <v>570625195</v>
      </c>
      <c r="Q95" s="2382">
        <v>570625195</v>
      </c>
      <c r="R95" s="2382">
        <v>0</v>
      </c>
      <c r="S95" s="2382">
        <v>0</v>
      </c>
      <c r="T95" s="1212">
        <f t="shared" si="72"/>
        <v>0</v>
      </c>
      <c r="U95" s="1212">
        <f t="shared" si="72"/>
        <v>0</v>
      </c>
      <c r="V95" s="2393"/>
      <c r="W95" s="2393"/>
      <c r="X95" s="878"/>
      <c r="Y95" s="3285"/>
    </row>
    <row r="96" spans="1:25">
      <c r="A96" s="3076">
        <v>4171</v>
      </c>
      <c r="B96" s="3292"/>
      <c r="C96" s="3076" t="s">
        <v>123</v>
      </c>
      <c r="D96" s="3066" t="s">
        <v>4890</v>
      </c>
      <c r="E96" s="858" t="s">
        <v>4891</v>
      </c>
      <c r="F96" s="844"/>
      <c r="G96" s="872"/>
      <c r="H96" s="852"/>
      <c r="I96" s="872"/>
      <c r="J96" s="872"/>
      <c r="K96" s="857">
        <f t="shared" ref="K96:L96" si="76">+K97</f>
        <v>50</v>
      </c>
      <c r="L96" s="869">
        <f t="shared" si="76"/>
        <v>1</v>
      </c>
      <c r="M96" s="2380">
        <f t="shared" ref="M96:N96" si="77">M97</f>
        <v>0</v>
      </c>
      <c r="N96" s="1211">
        <f t="shared" si="77"/>
        <v>0</v>
      </c>
      <c r="O96" s="3289">
        <f>IF(Q96&gt;0,N96,"na")</f>
        <v>0</v>
      </c>
      <c r="P96" s="2382">
        <f t="shared" ref="P96:S96" si="78">SUM(P97)</f>
        <v>223476104</v>
      </c>
      <c r="Q96" s="2382">
        <f t="shared" si="78"/>
        <v>223476104</v>
      </c>
      <c r="R96" s="2382">
        <f t="shared" si="78"/>
        <v>0</v>
      </c>
      <c r="S96" s="2382">
        <f t="shared" si="78"/>
        <v>0</v>
      </c>
      <c r="T96" s="1212">
        <f t="shared" si="72"/>
        <v>0</v>
      </c>
      <c r="U96" s="1212">
        <f t="shared" si="72"/>
        <v>0</v>
      </c>
      <c r="V96" s="2392"/>
      <c r="W96" s="2392"/>
      <c r="X96" s="878"/>
      <c r="Y96" s="3076" t="s">
        <v>4782</v>
      </c>
    </row>
    <row r="97" spans="1:25" ht="92.4">
      <c r="A97" s="3285"/>
      <c r="B97" s="3285"/>
      <c r="C97" s="3285"/>
      <c r="D97" s="3285"/>
      <c r="E97" s="858" t="s">
        <v>4892</v>
      </c>
      <c r="F97" s="844"/>
      <c r="G97" s="857" t="s">
        <v>4754</v>
      </c>
      <c r="H97" s="852"/>
      <c r="I97" s="857" t="s">
        <v>4893</v>
      </c>
      <c r="J97" s="857" t="s">
        <v>2902</v>
      </c>
      <c r="K97" s="857">
        <v>50</v>
      </c>
      <c r="L97" s="869">
        <v>1</v>
      </c>
      <c r="M97" s="2380">
        <v>0</v>
      </c>
      <c r="N97" s="1211">
        <v>0</v>
      </c>
      <c r="O97" s="3290"/>
      <c r="P97" s="2382">
        <v>223476104</v>
      </c>
      <c r="Q97" s="2382">
        <v>223476104</v>
      </c>
      <c r="R97" s="2382">
        <v>0</v>
      </c>
      <c r="S97" s="2382">
        <v>0</v>
      </c>
      <c r="T97" s="1212">
        <f t="shared" si="72"/>
        <v>0</v>
      </c>
      <c r="U97" s="1212">
        <f t="shared" si="72"/>
        <v>0</v>
      </c>
      <c r="V97" s="2393"/>
      <c r="W97" s="2394"/>
      <c r="X97" s="878"/>
      <c r="Y97" s="3285"/>
    </row>
    <row r="98" spans="1:25">
      <c r="A98" s="3076">
        <v>4171</v>
      </c>
      <c r="B98" s="3292"/>
      <c r="C98" s="3076" t="s">
        <v>123</v>
      </c>
      <c r="D98" s="3066" t="s">
        <v>4894</v>
      </c>
      <c r="E98" s="858" t="s">
        <v>4895</v>
      </c>
      <c r="F98" s="844"/>
      <c r="G98" s="872"/>
      <c r="H98" s="852"/>
      <c r="I98" s="872"/>
      <c r="J98" s="872"/>
      <c r="K98" s="857">
        <f t="shared" ref="K98:L98" si="79">+K99</f>
        <v>75</v>
      </c>
      <c r="L98" s="869">
        <f t="shared" si="79"/>
        <v>1</v>
      </c>
      <c r="M98" s="2380">
        <f t="shared" ref="M98:N98" si="80">M99</f>
        <v>0</v>
      </c>
      <c r="N98" s="1211">
        <f t="shared" si="80"/>
        <v>0</v>
      </c>
      <c r="O98" s="3289">
        <f>IF(Q98&gt;0,N98,"na")</f>
        <v>0</v>
      </c>
      <c r="P98" s="2382">
        <f t="shared" ref="P98:S98" si="81">SUM(P99)</f>
        <v>288131555</v>
      </c>
      <c r="Q98" s="2382">
        <f t="shared" si="81"/>
        <v>288131555</v>
      </c>
      <c r="R98" s="2382">
        <f t="shared" si="81"/>
        <v>0</v>
      </c>
      <c r="S98" s="2382">
        <f t="shared" si="81"/>
        <v>0</v>
      </c>
      <c r="T98" s="1212">
        <f t="shared" si="72"/>
        <v>0</v>
      </c>
      <c r="U98" s="1212">
        <f t="shared" si="72"/>
        <v>0</v>
      </c>
      <c r="V98" s="2392"/>
      <c r="W98" s="2392"/>
      <c r="X98" s="878"/>
      <c r="Y98" s="3076" t="s">
        <v>4782</v>
      </c>
    </row>
    <row r="99" spans="1:25" ht="92.4">
      <c r="A99" s="3285"/>
      <c r="B99" s="3285"/>
      <c r="C99" s="3285"/>
      <c r="D99" s="3285"/>
      <c r="E99" s="858" t="s">
        <v>4896</v>
      </c>
      <c r="F99" s="844"/>
      <c r="G99" s="857" t="s">
        <v>4754</v>
      </c>
      <c r="H99" s="852"/>
      <c r="I99" s="857" t="s">
        <v>4875</v>
      </c>
      <c r="J99" s="857" t="s">
        <v>2902</v>
      </c>
      <c r="K99" s="857">
        <v>75</v>
      </c>
      <c r="L99" s="869">
        <v>1</v>
      </c>
      <c r="M99" s="2380">
        <v>0</v>
      </c>
      <c r="N99" s="1211">
        <v>0</v>
      </c>
      <c r="O99" s="3290"/>
      <c r="P99" s="2382">
        <v>288131555</v>
      </c>
      <c r="Q99" s="2382">
        <v>288131555</v>
      </c>
      <c r="R99" s="2382">
        <v>0</v>
      </c>
      <c r="S99" s="2382">
        <v>0</v>
      </c>
      <c r="T99" s="1212">
        <f t="shared" si="72"/>
        <v>0</v>
      </c>
      <c r="U99" s="1212">
        <f t="shared" si="72"/>
        <v>0</v>
      </c>
      <c r="V99" s="2393"/>
      <c r="W99" s="2393"/>
      <c r="X99" s="878"/>
      <c r="Y99" s="3285"/>
    </row>
    <row r="100" spans="1:25" s="46" customFormat="1" ht="27.6">
      <c r="A100" s="846"/>
      <c r="B100" s="844">
        <v>51040020003</v>
      </c>
      <c r="C100" s="844" t="s">
        <v>117</v>
      </c>
      <c r="D100" s="846" t="s">
        <v>4897</v>
      </c>
      <c r="E100" s="846"/>
      <c r="F100" s="844"/>
      <c r="G100" s="846"/>
      <c r="H100" s="851"/>
      <c r="I100" s="846"/>
      <c r="J100" s="846"/>
      <c r="K100" s="846">
        <f t="shared" ref="K100:K101" si="82">+K101</f>
        <v>1</v>
      </c>
      <c r="L100" s="2397"/>
      <c r="M100" s="846"/>
      <c r="N100" s="1248"/>
      <c r="O100" s="1176"/>
      <c r="P100" s="1258"/>
      <c r="Q100" s="1258"/>
      <c r="R100" s="1258"/>
      <c r="S100" s="1258"/>
      <c r="T100" s="2378"/>
      <c r="U100" s="2378"/>
      <c r="V100" s="846"/>
      <c r="W100" s="846"/>
      <c r="X100" s="878"/>
      <c r="Y100" s="846"/>
    </row>
    <row r="101" spans="1:25">
      <c r="A101" s="3076">
        <v>4171</v>
      </c>
      <c r="B101" s="3292"/>
      <c r="C101" s="3076" t="s">
        <v>123</v>
      </c>
      <c r="D101" s="3066" t="s">
        <v>4898</v>
      </c>
      <c r="E101" s="858" t="s">
        <v>4899</v>
      </c>
      <c r="F101" s="844"/>
      <c r="G101" s="872"/>
      <c r="H101" s="852"/>
      <c r="I101" s="872"/>
      <c r="J101" s="872"/>
      <c r="K101" s="857">
        <f t="shared" si="82"/>
        <v>1</v>
      </c>
      <c r="L101" s="869">
        <f>+L102</f>
        <v>1</v>
      </c>
      <c r="M101" s="2380">
        <f>M102</f>
        <v>0</v>
      </c>
      <c r="N101" s="1211">
        <f>SUM(N102)</f>
        <v>0.03</v>
      </c>
      <c r="O101" s="3289">
        <f>IF(Q101&gt;0,N101,"na")</f>
        <v>0.03</v>
      </c>
      <c r="P101" s="2382">
        <f t="shared" ref="P101:S101" si="83">SUM(P102)</f>
        <v>350000000</v>
      </c>
      <c r="Q101" s="2382">
        <f t="shared" si="83"/>
        <v>350000000</v>
      </c>
      <c r="R101" s="2382">
        <f t="shared" si="83"/>
        <v>20924000</v>
      </c>
      <c r="S101" s="2382">
        <f t="shared" si="83"/>
        <v>15693000</v>
      </c>
      <c r="T101" s="1212">
        <f t="shared" ref="T101:U102" si="84">IF(Q101=0,0,R101/Q101)</f>
        <v>5.9782857142857145E-2</v>
      </c>
      <c r="U101" s="1212">
        <f t="shared" si="84"/>
        <v>0.75</v>
      </c>
      <c r="V101" s="2392"/>
      <c r="W101" s="2392"/>
      <c r="X101" s="878"/>
      <c r="Y101" s="3076" t="s">
        <v>4782</v>
      </c>
    </row>
    <row r="102" spans="1:25" ht="105.6">
      <c r="A102" s="3285"/>
      <c r="B102" s="3285"/>
      <c r="C102" s="3285"/>
      <c r="D102" s="3285"/>
      <c r="E102" s="858" t="s">
        <v>4900</v>
      </c>
      <c r="F102" s="844"/>
      <c r="G102" s="857" t="s">
        <v>4901</v>
      </c>
      <c r="H102" s="852"/>
      <c r="I102" s="857" t="s">
        <v>4902</v>
      </c>
      <c r="J102" s="857" t="s">
        <v>4903</v>
      </c>
      <c r="K102" s="857">
        <v>1</v>
      </c>
      <c r="L102" s="869">
        <v>1</v>
      </c>
      <c r="M102" s="2380">
        <v>0</v>
      </c>
      <c r="N102" s="1211">
        <v>0.03</v>
      </c>
      <c r="O102" s="3290"/>
      <c r="P102" s="2382">
        <v>350000000</v>
      </c>
      <c r="Q102" s="2382">
        <v>350000000</v>
      </c>
      <c r="R102" s="2382">
        <v>20924000</v>
      </c>
      <c r="S102" s="2382">
        <v>15693000</v>
      </c>
      <c r="T102" s="1212">
        <f t="shared" si="84"/>
        <v>5.9782857142857145E-2</v>
      </c>
      <c r="U102" s="1212">
        <f t="shared" si="84"/>
        <v>0.75</v>
      </c>
      <c r="V102" s="2393">
        <v>45310</v>
      </c>
      <c r="W102" s="2394">
        <v>45657</v>
      </c>
      <c r="X102" s="878" t="s">
        <v>4904</v>
      </c>
      <c r="Y102" s="3285"/>
    </row>
    <row r="103" spans="1:25" s="46" customFormat="1" ht="27.6">
      <c r="A103" s="846"/>
      <c r="B103" s="844">
        <v>51040020005</v>
      </c>
      <c r="C103" s="844" t="s">
        <v>117</v>
      </c>
      <c r="D103" s="846" t="s">
        <v>4905</v>
      </c>
      <c r="E103" s="846"/>
      <c r="F103" s="844"/>
      <c r="G103" s="846"/>
      <c r="H103" s="851"/>
      <c r="I103" s="846"/>
      <c r="J103" s="846"/>
      <c r="K103" s="846">
        <f>+K104</f>
        <v>190</v>
      </c>
      <c r="L103" s="2397"/>
      <c r="M103" s="846"/>
      <c r="N103" s="1248"/>
      <c r="O103" s="1176"/>
      <c r="P103" s="1258"/>
      <c r="Q103" s="1258"/>
      <c r="R103" s="1258"/>
      <c r="S103" s="1258"/>
      <c r="T103" s="2378"/>
      <c r="U103" s="2378"/>
      <c r="V103" s="846"/>
      <c r="W103" s="846"/>
      <c r="X103" s="878"/>
      <c r="Y103" s="846"/>
    </row>
    <row r="104" spans="1:25">
      <c r="A104" s="3076">
        <v>4171</v>
      </c>
      <c r="B104" s="3292"/>
      <c r="C104" s="3076" t="s">
        <v>123</v>
      </c>
      <c r="D104" s="3066" t="s">
        <v>4906</v>
      </c>
      <c r="E104" s="858" t="s">
        <v>4907</v>
      </c>
      <c r="F104" s="844"/>
      <c r="G104" s="872"/>
      <c r="H104" s="852"/>
      <c r="I104" s="872"/>
      <c r="J104" s="872"/>
      <c r="K104" s="857">
        <f>K105</f>
        <v>190</v>
      </c>
      <c r="L104" s="869">
        <f>+L105</f>
        <v>1</v>
      </c>
      <c r="M104" s="2380">
        <f>M105</f>
        <v>0</v>
      </c>
      <c r="N104" s="1211">
        <f>SUM(N105)</f>
        <v>0</v>
      </c>
      <c r="O104" s="3289">
        <f>IF(Q104&gt;0,N104,"na")</f>
        <v>0</v>
      </c>
      <c r="P104" s="2382">
        <f t="shared" ref="P104:S104" si="85">SUM(P105)</f>
        <v>585610966</v>
      </c>
      <c r="Q104" s="2382">
        <f t="shared" si="85"/>
        <v>585610966</v>
      </c>
      <c r="R104" s="2382">
        <f t="shared" si="85"/>
        <v>0</v>
      </c>
      <c r="S104" s="2382">
        <f t="shared" si="85"/>
        <v>0</v>
      </c>
      <c r="T104" s="1212">
        <f t="shared" ref="T104:U105" si="86">IF(Q104=0,0,R104/Q104)</f>
        <v>0</v>
      </c>
      <c r="U104" s="1212">
        <f t="shared" si="86"/>
        <v>0</v>
      </c>
      <c r="V104" s="2392"/>
      <c r="W104" s="2392"/>
      <c r="X104" s="878"/>
      <c r="Y104" s="3076" t="s">
        <v>4782</v>
      </c>
    </row>
    <row r="105" spans="1:25" ht="92.4">
      <c r="A105" s="3285"/>
      <c r="B105" s="3285"/>
      <c r="C105" s="3285"/>
      <c r="D105" s="3285"/>
      <c r="E105" s="858" t="s">
        <v>4908</v>
      </c>
      <c r="F105" s="844"/>
      <c r="G105" s="857" t="s">
        <v>4909</v>
      </c>
      <c r="H105" s="852"/>
      <c r="I105" s="857" t="s">
        <v>4910</v>
      </c>
      <c r="J105" s="857" t="s">
        <v>4911</v>
      </c>
      <c r="K105" s="857">
        <v>190</v>
      </c>
      <c r="L105" s="869">
        <v>1</v>
      </c>
      <c r="M105" s="2380">
        <v>0</v>
      </c>
      <c r="N105" s="1211">
        <v>0</v>
      </c>
      <c r="O105" s="3290"/>
      <c r="P105" s="2382">
        <v>585610966</v>
      </c>
      <c r="Q105" s="2382">
        <v>585610966</v>
      </c>
      <c r="R105" s="2382">
        <v>0</v>
      </c>
      <c r="S105" s="2382">
        <v>0</v>
      </c>
      <c r="T105" s="1212">
        <f t="shared" si="86"/>
        <v>0</v>
      </c>
      <c r="U105" s="1212">
        <f t="shared" si="86"/>
        <v>0</v>
      </c>
      <c r="V105" s="2393"/>
      <c r="W105" s="2393"/>
      <c r="X105" s="878"/>
      <c r="Y105" s="3285"/>
    </row>
    <row r="106" spans="1:25" ht="15.6">
      <c r="A106" s="872"/>
      <c r="B106" s="858">
        <v>5105</v>
      </c>
      <c r="C106" s="837" t="s">
        <v>115</v>
      </c>
      <c r="D106" s="839" t="s">
        <v>749</v>
      </c>
      <c r="E106" s="872"/>
      <c r="F106" s="844"/>
      <c r="G106" s="872"/>
      <c r="H106" s="872"/>
      <c r="I106" s="872"/>
      <c r="J106" s="872"/>
      <c r="K106" s="872"/>
      <c r="L106" s="2391"/>
      <c r="M106" s="857"/>
      <c r="N106" s="1211"/>
      <c r="O106" s="1214"/>
      <c r="P106" s="1081"/>
      <c r="Q106" s="1081"/>
      <c r="R106" s="1081"/>
      <c r="S106" s="1081"/>
      <c r="T106" s="2377"/>
      <c r="U106" s="2378"/>
      <c r="V106" s="872"/>
      <c r="W106" s="872"/>
      <c r="X106" s="878"/>
      <c r="Y106" s="872"/>
    </row>
    <row r="107" spans="1:25">
      <c r="A107" s="872"/>
      <c r="B107" s="852">
        <v>5105001</v>
      </c>
      <c r="C107" s="2207" t="s">
        <v>3370</v>
      </c>
      <c r="D107" s="872" t="s">
        <v>4912</v>
      </c>
      <c r="E107" s="872"/>
      <c r="F107" s="844"/>
      <c r="G107" s="872"/>
      <c r="H107" s="872"/>
      <c r="I107" s="872"/>
      <c r="J107" s="872"/>
      <c r="K107" s="872"/>
      <c r="L107" s="2391"/>
      <c r="M107" s="857"/>
      <c r="N107" s="1211"/>
      <c r="O107" s="1214"/>
      <c r="P107" s="1081"/>
      <c r="Q107" s="1081"/>
      <c r="R107" s="1081"/>
      <c r="S107" s="1081"/>
      <c r="T107" s="2377"/>
      <c r="U107" s="2378"/>
      <c r="V107" s="872"/>
      <c r="W107" s="872"/>
      <c r="X107" s="878"/>
      <c r="Y107" s="872"/>
    </row>
    <row r="108" spans="1:25" s="46" customFormat="1" ht="41.4">
      <c r="A108" s="846"/>
      <c r="B108" s="844">
        <v>51050010004</v>
      </c>
      <c r="C108" s="844" t="s">
        <v>117</v>
      </c>
      <c r="D108" s="846" t="s">
        <v>4913</v>
      </c>
      <c r="E108" s="846"/>
      <c r="F108" s="844"/>
      <c r="G108" s="846"/>
      <c r="H108" s="851"/>
      <c r="I108" s="846"/>
      <c r="J108" s="846"/>
      <c r="K108" s="846">
        <f>+K109</f>
        <v>15</v>
      </c>
      <c r="L108" s="2397"/>
      <c r="M108" s="846"/>
      <c r="N108" s="1248"/>
      <c r="O108" s="1176"/>
      <c r="P108" s="1258"/>
      <c r="Q108" s="1258"/>
      <c r="R108" s="1258"/>
      <c r="S108" s="1258"/>
      <c r="T108" s="2378"/>
      <c r="U108" s="2378"/>
      <c r="V108" s="846"/>
      <c r="W108" s="846"/>
      <c r="X108" s="878"/>
      <c r="Y108" s="846"/>
    </row>
    <row r="109" spans="1:25">
      <c r="A109" s="3076">
        <v>4171</v>
      </c>
      <c r="B109" s="3292"/>
      <c r="C109" s="3076" t="s">
        <v>123</v>
      </c>
      <c r="D109" s="3066" t="s">
        <v>4914</v>
      </c>
      <c r="E109" s="858" t="s">
        <v>4915</v>
      </c>
      <c r="F109" s="844"/>
      <c r="G109" s="872"/>
      <c r="H109" s="852"/>
      <c r="I109" s="872"/>
      <c r="J109" s="872"/>
      <c r="K109" s="857">
        <f>K111</f>
        <v>15</v>
      </c>
      <c r="L109" s="869">
        <f>+L110+L111</f>
        <v>1</v>
      </c>
      <c r="M109" s="2380">
        <f>M111</f>
        <v>0</v>
      </c>
      <c r="N109" s="1211">
        <f>SUM(N110:N111)</f>
        <v>1.7999999999999999E-2</v>
      </c>
      <c r="O109" s="3289">
        <f>IF(Q109&gt;0,N109,"na")</f>
        <v>1.7999999999999999E-2</v>
      </c>
      <c r="P109" s="2382">
        <f t="shared" ref="P109:S109" si="87">SUM(P110:P111)</f>
        <v>102948000</v>
      </c>
      <c r="Q109" s="2382">
        <f t="shared" si="87"/>
        <v>102948000</v>
      </c>
      <c r="R109" s="2382">
        <f t="shared" si="87"/>
        <v>17752000</v>
      </c>
      <c r="S109" s="2382">
        <f t="shared" si="87"/>
        <v>8876000</v>
      </c>
      <c r="T109" s="1212">
        <f t="shared" ref="T109:U111" si="88">IF(Q109=0,0,R109/Q109)</f>
        <v>0.17243656991879394</v>
      </c>
      <c r="U109" s="1212">
        <f t="shared" si="88"/>
        <v>0.5</v>
      </c>
      <c r="V109" s="2392"/>
      <c r="W109" s="2392"/>
      <c r="X109" s="878"/>
      <c r="Y109" s="3076" t="s">
        <v>4782</v>
      </c>
    </row>
    <row r="110" spans="1:25" ht="52.8">
      <c r="A110" s="3285"/>
      <c r="B110" s="3285"/>
      <c r="C110" s="3288"/>
      <c r="D110" s="3285"/>
      <c r="E110" s="858" t="s">
        <v>4916</v>
      </c>
      <c r="F110" s="3293"/>
      <c r="G110" s="3076" t="s">
        <v>4917</v>
      </c>
      <c r="H110" s="3251"/>
      <c r="I110" s="857" t="s">
        <v>4918</v>
      </c>
      <c r="J110" s="857" t="s">
        <v>2902</v>
      </c>
      <c r="K110" s="857">
        <v>15</v>
      </c>
      <c r="L110" s="869">
        <v>0.4</v>
      </c>
      <c r="M110" s="2380">
        <v>0</v>
      </c>
      <c r="N110" s="1211">
        <v>0</v>
      </c>
      <c r="O110" s="3290"/>
      <c r="P110" s="2382">
        <v>15346400</v>
      </c>
      <c r="Q110" s="2382">
        <v>15346400</v>
      </c>
      <c r="R110" s="2382">
        <v>0</v>
      </c>
      <c r="S110" s="2382">
        <v>0</v>
      </c>
      <c r="T110" s="1212">
        <f t="shared" si="88"/>
        <v>0</v>
      </c>
      <c r="U110" s="1212">
        <f t="shared" si="88"/>
        <v>0</v>
      </c>
      <c r="V110" s="2393"/>
      <c r="W110" s="2394"/>
      <c r="X110" s="878"/>
      <c r="Y110" s="3285"/>
    </row>
    <row r="111" spans="1:25" ht="79.2">
      <c r="A111" s="3285"/>
      <c r="B111" s="3285"/>
      <c r="C111" s="3285"/>
      <c r="D111" s="3285"/>
      <c r="E111" s="858" t="s">
        <v>4919</v>
      </c>
      <c r="F111" s="3285"/>
      <c r="G111" s="3285"/>
      <c r="H111" s="3285"/>
      <c r="I111" s="857" t="s">
        <v>4920</v>
      </c>
      <c r="J111" s="857" t="s">
        <v>4750</v>
      </c>
      <c r="K111" s="857">
        <v>15</v>
      </c>
      <c r="L111" s="869">
        <v>0.6</v>
      </c>
      <c r="M111" s="2380">
        <v>0</v>
      </c>
      <c r="N111" s="1211">
        <v>1.7999999999999999E-2</v>
      </c>
      <c r="O111" s="3290"/>
      <c r="P111" s="2382">
        <v>87601600</v>
      </c>
      <c r="Q111" s="2382">
        <v>87601600</v>
      </c>
      <c r="R111" s="2382">
        <v>17752000</v>
      </c>
      <c r="S111" s="2382">
        <v>8876000</v>
      </c>
      <c r="T111" s="1212">
        <f t="shared" si="88"/>
        <v>0.20264470055341455</v>
      </c>
      <c r="U111" s="1212">
        <f t="shared" si="88"/>
        <v>0.5</v>
      </c>
      <c r="V111" s="2393">
        <v>45370</v>
      </c>
      <c r="W111" s="2394">
        <v>45657</v>
      </c>
      <c r="X111" s="878" t="s">
        <v>4921</v>
      </c>
      <c r="Y111" s="3285"/>
    </row>
    <row r="112" spans="1:25" s="46" customFormat="1" ht="27.6">
      <c r="A112" s="846"/>
      <c r="B112" s="844">
        <v>51050010005</v>
      </c>
      <c r="C112" s="844" t="s">
        <v>117</v>
      </c>
      <c r="D112" s="846" t="s">
        <v>4922</v>
      </c>
      <c r="E112" s="846"/>
      <c r="F112" s="844"/>
      <c r="G112" s="846"/>
      <c r="H112" s="851"/>
      <c r="I112" s="846"/>
      <c r="J112" s="846"/>
      <c r="K112" s="846">
        <f>+K113</f>
        <v>15</v>
      </c>
      <c r="L112" s="2397"/>
      <c r="M112" s="846"/>
      <c r="N112" s="1248"/>
      <c r="O112" s="1176"/>
      <c r="P112" s="1258"/>
      <c r="Q112" s="1258"/>
      <c r="R112" s="1258"/>
      <c r="S112" s="1258"/>
      <c r="T112" s="2378"/>
      <c r="U112" s="2378"/>
      <c r="V112" s="846"/>
      <c r="W112" s="846"/>
      <c r="X112" s="878"/>
      <c r="Y112" s="846"/>
    </row>
    <row r="113" spans="1:25">
      <c r="A113" s="3076">
        <v>4171</v>
      </c>
      <c r="B113" s="3287"/>
      <c r="C113" s="3251" t="s">
        <v>123</v>
      </c>
      <c r="D113" s="3066" t="s">
        <v>4923</v>
      </c>
      <c r="E113" s="858" t="s">
        <v>4924</v>
      </c>
      <c r="F113" s="844"/>
      <c r="G113" s="872"/>
      <c r="H113" s="852"/>
      <c r="I113" s="872"/>
      <c r="J113" s="872"/>
      <c r="K113" s="857">
        <f>K115</f>
        <v>15</v>
      </c>
      <c r="L113" s="869">
        <f>+L114+L115</f>
        <v>1</v>
      </c>
      <c r="M113" s="2380">
        <f>M115</f>
        <v>0</v>
      </c>
      <c r="N113" s="1211">
        <f>SUM(N114:N115)</f>
        <v>5.6000000000000001E-2</v>
      </c>
      <c r="O113" s="3289">
        <f>IF(Q113&gt;0,N113,"na")</f>
        <v>5.6000000000000001E-2</v>
      </c>
      <c r="P113" s="2382">
        <f t="shared" ref="P113:S113" si="89">SUM(P114:P115)</f>
        <v>350000000</v>
      </c>
      <c r="Q113" s="2382">
        <f t="shared" si="89"/>
        <v>350000000</v>
      </c>
      <c r="R113" s="2382">
        <f t="shared" si="89"/>
        <v>87757000</v>
      </c>
      <c r="S113" s="2382">
        <f t="shared" si="89"/>
        <v>54204000</v>
      </c>
      <c r="T113" s="1212">
        <f t="shared" ref="T113:U115" si="90">IF(Q113=0,0,R113/Q113)</f>
        <v>0.25073428571428569</v>
      </c>
      <c r="U113" s="1212">
        <f t="shared" si="90"/>
        <v>0.61766012967626516</v>
      </c>
      <c r="V113" s="2392"/>
      <c r="W113" s="2392"/>
      <c r="X113" s="878"/>
      <c r="Y113" s="3076" t="s">
        <v>4782</v>
      </c>
    </row>
    <row r="114" spans="1:25" ht="52.8">
      <c r="A114" s="3285"/>
      <c r="B114" s="3285"/>
      <c r="C114" s="3288"/>
      <c r="D114" s="3285"/>
      <c r="E114" s="858" t="s">
        <v>4925</v>
      </c>
      <c r="F114" s="3293"/>
      <c r="G114" s="3066" t="s">
        <v>4922</v>
      </c>
      <c r="H114" s="3251"/>
      <c r="I114" s="857" t="s">
        <v>4926</v>
      </c>
      <c r="J114" s="857" t="s">
        <v>4927</v>
      </c>
      <c r="K114" s="857">
        <v>15</v>
      </c>
      <c r="L114" s="869">
        <v>0.3</v>
      </c>
      <c r="M114" s="2380">
        <v>0</v>
      </c>
      <c r="N114" s="1211">
        <v>0</v>
      </c>
      <c r="O114" s="3290"/>
      <c r="P114" s="2382">
        <v>48394800</v>
      </c>
      <c r="Q114" s="2382">
        <v>48394800</v>
      </c>
      <c r="R114" s="2382">
        <v>0</v>
      </c>
      <c r="S114" s="2382">
        <v>0</v>
      </c>
      <c r="T114" s="1212">
        <f t="shared" si="90"/>
        <v>0</v>
      </c>
      <c r="U114" s="1212">
        <f t="shared" si="90"/>
        <v>0</v>
      </c>
      <c r="V114" s="2393"/>
      <c r="W114" s="2394"/>
      <c r="X114" s="878"/>
      <c r="Y114" s="3285"/>
    </row>
    <row r="115" spans="1:25" ht="79.2">
      <c r="A115" s="3285"/>
      <c r="B115" s="3285"/>
      <c r="C115" s="3285"/>
      <c r="D115" s="3285"/>
      <c r="E115" s="858" t="s">
        <v>4928</v>
      </c>
      <c r="F115" s="3285"/>
      <c r="G115" s="3285"/>
      <c r="H115" s="3285"/>
      <c r="I115" s="857" t="s">
        <v>4929</v>
      </c>
      <c r="J115" s="857" t="s">
        <v>4930</v>
      </c>
      <c r="K115" s="857">
        <v>15</v>
      </c>
      <c r="L115" s="869">
        <v>0.7</v>
      </c>
      <c r="M115" s="2380">
        <v>0</v>
      </c>
      <c r="N115" s="1211">
        <v>5.6000000000000001E-2</v>
      </c>
      <c r="O115" s="3290"/>
      <c r="P115" s="2382">
        <v>301605200</v>
      </c>
      <c r="Q115" s="2382">
        <v>301605200</v>
      </c>
      <c r="R115" s="2382">
        <v>87757000</v>
      </c>
      <c r="S115" s="2382">
        <v>54204000</v>
      </c>
      <c r="T115" s="1212">
        <f t="shared" si="90"/>
        <v>0.29096646874788629</v>
      </c>
      <c r="U115" s="1212">
        <f t="shared" si="90"/>
        <v>0.61766012967626516</v>
      </c>
      <c r="V115" s="2393">
        <v>45310</v>
      </c>
      <c r="W115" s="2394">
        <v>45657</v>
      </c>
      <c r="X115" s="878" t="s">
        <v>4931</v>
      </c>
      <c r="Y115" s="3285"/>
    </row>
    <row r="116" spans="1:25" s="46" customFormat="1">
      <c r="A116" s="846"/>
      <c r="B116" s="851">
        <v>51050010008</v>
      </c>
      <c r="C116" s="851" t="s">
        <v>117</v>
      </c>
      <c r="D116" s="846" t="s">
        <v>4932</v>
      </c>
      <c r="E116" s="846"/>
      <c r="F116" s="844"/>
      <c r="G116" s="846"/>
      <c r="H116" s="851"/>
      <c r="I116" s="846"/>
      <c r="J116" s="846"/>
      <c r="K116" s="846">
        <f t="shared" ref="K116:K117" si="91">+K117</f>
        <v>1000</v>
      </c>
      <c r="L116" s="2397"/>
      <c r="M116" s="846"/>
      <c r="N116" s="1248"/>
      <c r="O116" s="1176"/>
      <c r="P116" s="1258"/>
      <c r="Q116" s="1258"/>
      <c r="R116" s="1258"/>
      <c r="S116" s="1258"/>
      <c r="T116" s="2378"/>
      <c r="U116" s="2378"/>
      <c r="V116" s="846"/>
      <c r="W116" s="846"/>
      <c r="X116" s="878"/>
      <c r="Y116" s="846"/>
    </row>
    <row r="117" spans="1:25">
      <c r="A117" s="3076">
        <v>4171</v>
      </c>
      <c r="B117" s="3292"/>
      <c r="C117" s="3076" t="s">
        <v>123</v>
      </c>
      <c r="D117" s="3066" t="s">
        <v>4933</v>
      </c>
      <c r="E117" s="858" t="s">
        <v>4934</v>
      </c>
      <c r="F117" s="844"/>
      <c r="G117" s="872"/>
      <c r="H117" s="852"/>
      <c r="I117" s="872"/>
      <c r="J117" s="872"/>
      <c r="K117" s="857">
        <f t="shared" si="91"/>
        <v>1000</v>
      </c>
      <c r="L117" s="869">
        <f>+L118+L119</f>
        <v>1</v>
      </c>
      <c r="M117" s="2380">
        <f>M118</f>
        <v>0</v>
      </c>
      <c r="N117" s="1211">
        <f>SUM(N118:N119)</f>
        <v>0.05</v>
      </c>
      <c r="O117" s="3289">
        <f>IF(Q117&gt;0,N117,"na")</f>
        <v>0.05</v>
      </c>
      <c r="P117" s="2382">
        <f t="shared" ref="P117:S117" si="92">SUM(P118:P119)</f>
        <v>12462107679</v>
      </c>
      <c r="Q117" s="2382">
        <f t="shared" si="92"/>
        <v>12462107679</v>
      </c>
      <c r="R117" s="2382">
        <f t="shared" si="92"/>
        <v>68191000</v>
      </c>
      <c r="S117" s="2382">
        <f t="shared" si="92"/>
        <v>47220000</v>
      </c>
      <c r="T117" s="1212">
        <f t="shared" ref="T117:U119" si="93">IF(Q117=0,0,R117/Q117)</f>
        <v>5.4718673402982402E-3</v>
      </c>
      <c r="U117" s="1212">
        <f t="shared" si="93"/>
        <v>0.69246674781129469</v>
      </c>
      <c r="V117" s="2392"/>
      <c r="W117" s="2392"/>
      <c r="X117" s="878"/>
      <c r="Y117" s="3076" t="s">
        <v>4935</v>
      </c>
    </row>
    <row r="118" spans="1:25" ht="52.8">
      <c r="A118" s="3285"/>
      <c r="B118" s="3285"/>
      <c r="C118" s="3288"/>
      <c r="D118" s="3285"/>
      <c r="E118" s="858" t="s">
        <v>4936</v>
      </c>
      <c r="F118" s="3293"/>
      <c r="G118" s="857" t="s">
        <v>4937</v>
      </c>
      <c r="H118" s="852"/>
      <c r="I118" s="857" t="s">
        <v>4938</v>
      </c>
      <c r="J118" s="857" t="s">
        <v>4939</v>
      </c>
      <c r="K118" s="857">
        <v>1000</v>
      </c>
      <c r="L118" s="869">
        <v>0.98</v>
      </c>
      <c r="M118" s="2380">
        <v>0</v>
      </c>
      <c r="N118" s="1211">
        <v>0.05</v>
      </c>
      <c r="O118" s="3290"/>
      <c r="P118" s="2382">
        <v>11838107679</v>
      </c>
      <c r="Q118" s="2382">
        <v>11838107679</v>
      </c>
      <c r="R118" s="2382">
        <v>0</v>
      </c>
      <c r="S118" s="2382">
        <v>0</v>
      </c>
      <c r="T118" s="1212">
        <f t="shared" si="93"/>
        <v>0</v>
      </c>
      <c r="U118" s="1212">
        <f t="shared" si="93"/>
        <v>0</v>
      </c>
      <c r="V118" s="2393"/>
      <c r="W118" s="2394"/>
      <c r="X118" s="878"/>
      <c r="Y118" s="3285"/>
    </row>
    <row r="119" spans="1:25" ht="79.2">
      <c r="A119" s="3285"/>
      <c r="B119" s="3285"/>
      <c r="C119" s="3285"/>
      <c r="D119" s="3285"/>
      <c r="E119" s="858" t="s">
        <v>4940</v>
      </c>
      <c r="F119" s="3285"/>
      <c r="G119" s="872"/>
      <c r="H119" s="872"/>
      <c r="I119" s="857" t="s">
        <v>4941</v>
      </c>
      <c r="J119" s="857" t="s">
        <v>4942</v>
      </c>
      <c r="K119" s="857">
        <v>100</v>
      </c>
      <c r="L119" s="869">
        <v>0.02</v>
      </c>
      <c r="M119" s="2380">
        <v>0</v>
      </c>
      <c r="N119" s="1211">
        <v>0</v>
      </c>
      <c r="O119" s="3290"/>
      <c r="P119" s="2382">
        <v>624000000</v>
      </c>
      <c r="Q119" s="2382">
        <v>624000000</v>
      </c>
      <c r="R119" s="2382">
        <v>68191000</v>
      </c>
      <c r="S119" s="2382">
        <v>47220000</v>
      </c>
      <c r="T119" s="1212">
        <f t="shared" si="93"/>
        <v>0.10928044871794872</v>
      </c>
      <c r="U119" s="1212">
        <f t="shared" si="93"/>
        <v>0.69246674781129469</v>
      </c>
      <c r="V119" s="2393">
        <v>45310</v>
      </c>
      <c r="W119" s="2394">
        <v>45657</v>
      </c>
      <c r="X119" s="878" t="s">
        <v>4943</v>
      </c>
      <c r="Y119" s="3285"/>
    </row>
    <row r="120" spans="1:25">
      <c r="A120" s="872"/>
      <c r="B120" s="852">
        <v>5105002</v>
      </c>
      <c r="C120" s="2207" t="s">
        <v>116</v>
      </c>
      <c r="D120" s="872" t="s">
        <v>750</v>
      </c>
      <c r="E120" s="872"/>
      <c r="F120" s="844"/>
      <c r="G120" s="872"/>
      <c r="H120" s="872"/>
      <c r="I120" s="872"/>
      <c r="J120" s="872"/>
      <c r="K120" s="872"/>
      <c r="L120" s="2391"/>
      <c r="M120" s="857"/>
      <c r="N120" s="1211"/>
      <c r="O120" s="1214"/>
      <c r="P120" s="1081"/>
      <c r="Q120" s="1081"/>
      <c r="R120" s="1081"/>
      <c r="S120" s="1081"/>
      <c r="T120" s="2377"/>
      <c r="U120" s="2378"/>
      <c r="V120" s="872"/>
      <c r="W120" s="872"/>
      <c r="X120" s="878"/>
      <c r="Y120" s="872"/>
    </row>
    <row r="121" spans="1:25" s="46" customFormat="1">
      <c r="A121" s="846"/>
      <c r="B121" s="844">
        <v>51050020002</v>
      </c>
      <c r="C121" s="844" t="s">
        <v>117</v>
      </c>
      <c r="D121" s="846" t="s">
        <v>4944</v>
      </c>
      <c r="E121" s="846"/>
      <c r="F121" s="844"/>
      <c r="G121" s="846"/>
      <c r="H121" s="844"/>
      <c r="I121" s="846"/>
      <c r="J121" s="846"/>
      <c r="K121" s="846">
        <f>+K122</f>
        <v>5</v>
      </c>
      <c r="L121" s="2397"/>
      <c r="M121" s="846"/>
      <c r="N121" s="1248"/>
      <c r="O121" s="1176"/>
      <c r="P121" s="1258"/>
      <c r="Q121" s="1258"/>
      <c r="R121" s="1258"/>
      <c r="S121" s="1258"/>
      <c r="T121" s="2378"/>
      <c r="U121" s="2378"/>
      <c r="V121" s="846"/>
      <c r="W121" s="846"/>
      <c r="X121" s="878"/>
      <c r="Y121" s="846"/>
    </row>
    <row r="122" spans="1:25">
      <c r="A122" s="3076">
        <v>4171</v>
      </c>
      <c r="B122" s="3287"/>
      <c r="C122" s="3251" t="s">
        <v>123</v>
      </c>
      <c r="D122" s="3066" t="s">
        <v>4945</v>
      </c>
      <c r="E122" s="858" t="s">
        <v>4946</v>
      </c>
      <c r="F122" s="844"/>
      <c r="G122" s="872"/>
      <c r="H122" s="858"/>
      <c r="I122" s="872"/>
      <c r="J122" s="872"/>
      <c r="K122" s="857">
        <f>+K124</f>
        <v>5</v>
      </c>
      <c r="L122" s="869">
        <f>+L123+L124</f>
        <v>1</v>
      </c>
      <c r="M122" s="2380">
        <f>M124</f>
        <v>0</v>
      </c>
      <c r="N122" s="1211">
        <f>SUM(N123:N124)</f>
        <v>3.5000000000000003E-2</v>
      </c>
      <c r="O122" s="3289">
        <f>IF(Q122&gt;0,N122,"na")</f>
        <v>3.5000000000000003E-2</v>
      </c>
      <c r="P122" s="1081">
        <f t="shared" ref="P122:S122" si="94">SUM(P123:P124)</f>
        <v>300000000</v>
      </c>
      <c r="Q122" s="1081">
        <f t="shared" si="94"/>
        <v>300000000</v>
      </c>
      <c r="R122" s="1081">
        <f t="shared" si="94"/>
        <v>22983000</v>
      </c>
      <c r="S122" s="1081">
        <f t="shared" si="94"/>
        <v>13314000</v>
      </c>
      <c r="T122" s="1212">
        <f t="shared" ref="T122:U124" si="95">IF(Q122=0,0,R122/Q122)</f>
        <v>7.6609999999999998E-2</v>
      </c>
      <c r="U122" s="1212">
        <f t="shared" si="95"/>
        <v>0.57929774180916327</v>
      </c>
      <c r="V122" s="2392"/>
      <c r="W122" s="2392"/>
      <c r="X122" s="878"/>
      <c r="Y122" s="3076" t="s">
        <v>4782</v>
      </c>
    </row>
    <row r="123" spans="1:25" ht="171.6">
      <c r="A123" s="3285"/>
      <c r="B123" s="3285"/>
      <c r="C123" s="3288"/>
      <c r="D123" s="3285"/>
      <c r="E123" s="858" t="s">
        <v>4947</v>
      </c>
      <c r="F123" s="3293"/>
      <c r="G123" s="872"/>
      <c r="H123" s="872"/>
      <c r="I123" s="857" t="s">
        <v>4948</v>
      </c>
      <c r="J123" s="857" t="s">
        <v>4949</v>
      </c>
      <c r="K123" s="857">
        <v>50</v>
      </c>
      <c r="L123" s="869">
        <v>0.35</v>
      </c>
      <c r="M123" s="2380">
        <v>0</v>
      </c>
      <c r="N123" s="1211">
        <v>3.5000000000000003E-2</v>
      </c>
      <c r="O123" s="3290"/>
      <c r="P123" s="1081">
        <v>133425600</v>
      </c>
      <c r="Q123" s="1081">
        <v>133425600</v>
      </c>
      <c r="R123" s="1081">
        <v>22983000</v>
      </c>
      <c r="S123" s="1081">
        <v>13314000</v>
      </c>
      <c r="T123" s="1212">
        <f t="shared" si="95"/>
        <v>0.17225330071590458</v>
      </c>
      <c r="U123" s="1212">
        <f t="shared" si="95"/>
        <v>0.57929774180916327</v>
      </c>
      <c r="V123" s="2393">
        <v>45310</v>
      </c>
      <c r="W123" s="2394">
        <v>45657</v>
      </c>
      <c r="X123" s="878" t="s">
        <v>4950</v>
      </c>
      <c r="Y123" s="3285"/>
    </row>
    <row r="124" spans="1:25" ht="52.8">
      <c r="A124" s="3285"/>
      <c r="B124" s="3285"/>
      <c r="C124" s="3285"/>
      <c r="D124" s="3285"/>
      <c r="E124" s="858" t="s">
        <v>4951</v>
      </c>
      <c r="F124" s="3285"/>
      <c r="G124" s="857" t="s">
        <v>4944</v>
      </c>
      <c r="H124" s="858"/>
      <c r="I124" s="857" t="s">
        <v>4952</v>
      </c>
      <c r="J124" s="857" t="s">
        <v>4953</v>
      </c>
      <c r="K124" s="857">
        <v>5</v>
      </c>
      <c r="L124" s="869">
        <v>0.65</v>
      </c>
      <c r="M124" s="2380">
        <v>0</v>
      </c>
      <c r="N124" s="1211">
        <v>0</v>
      </c>
      <c r="O124" s="3290"/>
      <c r="P124" s="1081">
        <v>166574400</v>
      </c>
      <c r="Q124" s="1081">
        <v>166574400</v>
      </c>
      <c r="R124" s="1081">
        <v>0</v>
      </c>
      <c r="S124" s="1081">
        <v>0</v>
      </c>
      <c r="T124" s="1212">
        <f t="shared" si="95"/>
        <v>0</v>
      </c>
      <c r="U124" s="1212">
        <f t="shared" si="95"/>
        <v>0</v>
      </c>
      <c r="V124" s="2393"/>
      <c r="W124" s="2394"/>
      <c r="X124" s="878"/>
      <c r="Y124" s="3285"/>
    </row>
    <row r="125" spans="1:25" s="46" customFormat="1">
      <c r="A125" s="846"/>
      <c r="B125" s="851">
        <v>51050020003</v>
      </c>
      <c r="C125" s="851" t="s">
        <v>117</v>
      </c>
      <c r="D125" s="846" t="s">
        <v>4954</v>
      </c>
      <c r="E125" s="846"/>
      <c r="F125" s="844"/>
      <c r="G125" s="846"/>
      <c r="H125" s="2399"/>
      <c r="I125" s="846"/>
      <c r="J125" s="846"/>
      <c r="K125" s="846">
        <f t="shared" ref="K125:K126" si="96">K126</f>
        <v>1</v>
      </c>
      <c r="L125" s="2397"/>
      <c r="M125" s="846"/>
      <c r="N125" s="1248"/>
      <c r="O125" s="1176"/>
      <c r="P125" s="1258"/>
      <c r="Q125" s="1258"/>
      <c r="R125" s="1258"/>
      <c r="S125" s="1258"/>
      <c r="T125" s="2378"/>
      <c r="U125" s="2378"/>
      <c r="V125" s="846"/>
      <c r="W125" s="846"/>
      <c r="X125" s="878"/>
      <c r="Y125" s="846"/>
    </row>
    <row r="126" spans="1:25">
      <c r="A126" s="3076">
        <v>4171</v>
      </c>
      <c r="B126" s="3292"/>
      <c r="C126" s="3076" t="s">
        <v>123</v>
      </c>
      <c r="D126" s="3066" t="s">
        <v>4955</v>
      </c>
      <c r="E126" s="858" t="s">
        <v>4956</v>
      </c>
      <c r="F126" s="844"/>
      <c r="G126" s="872"/>
      <c r="H126" s="1083"/>
      <c r="I126" s="872"/>
      <c r="J126" s="872"/>
      <c r="K126" s="857">
        <f t="shared" si="96"/>
        <v>1</v>
      </c>
      <c r="L126" s="869">
        <f>+L127</f>
        <v>1</v>
      </c>
      <c r="M126" s="853">
        <f>M127</f>
        <v>0</v>
      </c>
      <c r="N126" s="1211">
        <f>SUM(N127:N128)</f>
        <v>0.05</v>
      </c>
      <c r="O126" s="3289">
        <f>IF(Q126&gt;0,N126,"na")</f>
        <v>0.05</v>
      </c>
      <c r="P126" s="2382">
        <f t="shared" ref="P126:Q126" si="97">SUM(P127)</f>
        <v>400000000</v>
      </c>
      <c r="Q126" s="2382">
        <f t="shared" si="97"/>
        <v>400000000</v>
      </c>
      <c r="R126" s="2382">
        <f t="shared" ref="R126:S126" si="98">SUM(R127:R128)</f>
        <v>57729000</v>
      </c>
      <c r="S126" s="2382">
        <f t="shared" si="98"/>
        <v>41989000</v>
      </c>
      <c r="T126" s="1212">
        <f t="shared" ref="T126:U127" si="99">IF(Q126=0,0,R126/Q126)</f>
        <v>0.14432249999999999</v>
      </c>
      <c r="U126" s="1212">
        <f t="shared" si="99"/>
        <v>0.72734674080618056</v>
      </c>
      <c r="V126" s="2392"/>
      <c r="W126" s="2392"/>
      <c r="X126" s="878"/>
      <c r="Y126" s="3076" t="s">
        <v>4782</v>
      </c>
    </row>
    <row r="127" spans="1:25" ht="237.6">
      <c r="A127" s="3285"/>
      <c r="B127" s="3285"/>
      <c r="C127" s="3285"/>
      <c r="D127" s="3285"/>
      <c r="E127" s="858" t="s">
        <v>4957</v>
      </c>
      <c r="F127" s="844"/>
      <c r="G127" s="857" t="s">
        <v>4958</v>
      </c>
      <c r="H127" s="1083"/>
      <c r="I127" s="857" t="s">
        <v>4959</v>
      </c>
      <c r="J127" s="857" t="s">
        <v>4960</v>
      </c>
      <c r="K127" s="857">
        <v>1</v>
      </c>
      <c r="L127" s="869">
        <v>1</v>
      </c>
      <c r="M127" s="853">
        <v>0</v>
      </c>
      <c r="N127" s="1211">
        <v>0.05</v>
      </c>
      <c r="O127" s="3290"/>
      <c r="P127" s="2382">
        <v>400000000</v>
      </c>
      <c r="Q127" s="2382">
        <v>400000000</v>
      </c>
      <c r="R127" s="2382">
        <v>57729000</v>
      </c>
      <c r="S127" s="2382">
        <v>41989000</v>
      </c>
      <c r="T127" s="1212">
        <f t="shared" si="99"/>
        <v>0.14432249999999999</v>
      </c>
      <c r="U127" s="1212">
        <f t="shared" si="99"/>
        <v>0.72734674080618056</v>
      </c>
      <c r="V127" s="2393">
        <v>45310</v>
      </c>
      <c r="W127" s="2394">
        <v>45657</v>
      </c>
      <c r="X127" s="878" t="s">
        <v>4961</v>
      </c>
      <c r="Y127" s="3285"/>
    </row>
    <row r="128" spans="1:25" ht="15.6">
      <c r="A128" s="872"/>
      <c r="B128" s="852">
        <v>53</v>
      </c>
      <c r="C128" s="2205" t="s">
        <v>114</v>
      </c>
      <c r="D128" s="2206" t="s">
        <v>189</v>
      </c>
      <c r="E128" s="872"/>
      <c r="F128" s="844"/>
      <c r="G128" s="872"/>
      <c r="H128" s="872"/>
      <c r="I128" s="872"/>
      <c r="J128" s="872"/>
      <c r="K128" s="872"/>
      <c r="L128" s="2391"/>
      <c r="M128" s="857"/>
      <c r="N128" s="1211"/>
      <c r="O128" s="1214"/>
      <c r="P128" s="1081"/>
      <c r="Q128" s="1081"/>
      <c r="R128" s="1081"/>
      <c r="S128" s="1081"/>
      <c r="T128" s="2377"/>
      <c r="U128" s="2378"/>
      <c r="V128" s="872"/>
      <c r="W128" s="872"/>
      <c r="X128" s="878"/>
      <c r="Y128" s="872"/>
    </row>
    <row r="129" spans="1:25" ht="15.6">
      <c r="A129" s="872"/>
      <c r="B129" s="852">
        <v>5302</v>
      </c>
      <c r="C129" s="2205" t="s">
        <v>115</v>
      </c>
      <c r="D129" s="839" t="s">
        <v>190</v>
      </c>
      <c r="E129" s="872"/>
      <c r="F129" s="844"/>
      <c r="G129" s="872"/>
      <c r="H129" s="872"/>
      <c r="I129" s="872"/>
      <c r="J129" s="872"/>
      <c r="K129" s="872"/>
      <c r="L129" s="2391"/>
      <c r="M129" s="857"/>
      <c r="N129" s="1211"/>
      <c r="O129" s="1214"/>
      <c r="P129" s="1081"/>
      <c r="Q129" s="1081"/>
      <c r="R129" s="1081"/>
      <c r="S129" s="1081"/>
      <c r="T129" s="2377"/>
      <c r="U129" s="2378"/>
      <c r="V129" s="872"/>
      <c r="W129" s="872"/>
      <c r="X129" s="878"/>
      <c r="Y129" s="872"/>
    </row>
    <row r="130" spans="1:25">
      <c r="A130" s="872"/>
      <c r="B130" s="858">
        <v>5302002</v>
      </c>
      <c r="C130" s="873" t="s">
        <v>116</v>
      </c>
      <c r="D130" s="872" t="s">
        <v>4962</v>
      </c>
      <c r="E130" s="872"/>
      <c r="F130" s="844"/>
      <c r="G130" s="872"/>
      <c r="H130" s="872"/>
      <c r="I130" s="872"/>
      <c r="J130" s="872"/>
      <c r="K130" s="872"/>
      <c r="L130" s="2391"/>
      <c r="M130" s="857"/>
      <c r="N130" s="1211"/>
      <c r="O130" s="1214"/>
      <c r="P130" s="1081"/>
      <c r="Q130" s="1081"/>
      <c r="R130" s="1081"/>
      <c r="S130" s="1081"/>
      <c r="T130" s="2377"/>
      <c r="U130" s="2378"/>
      <c r="V130" s="872"/>
      <c r="W130" s="872"/>
      <c r="X130" s="878"/>
      <c r="Y130" s="872"/>
    </row>
    <row r="131" spans="1:25" s="46" customFormat="1" ht="27.6">
      <c r="A131" s="846"/>
      <c r="B131" s="844">
        <v>53020020001</v>
      </c>
      <c r="C131" s="844" t="s">
        <v>117</v>
      </c>
      <c r="D131" s="846" t="s">
        <v>4963</v>
      </c>
      <c r="E131" s="846"/>
      <c r="F131" s="844"/>
      <c r="G131" s="846"/>
      <c r="H131" s="851"/>
      <c r="I131" s="846"/>
      <c r="J131" s="846"/>
      <c r="K131" s="846">
        <f>K132+K136</f>
        <v>100</v>
      </c>
      <c r="L131" s="2397"/>
      <c r="M131" s="846"/>
      <c r="N131" s="1248"/>
      <c r="O131" s="1176"/>
      <c r="P131" s="1258"/>
      <c r="Q131" s="1258"/>
      <c r="R131" s="1258"/>
      <c r="S131" s="1258"/>
      <c r="T131" s="2378"/>
      <c r="U131" s="2378"/>
      <c r="V131" s="846"/>
      <c r="W131" s="846"/>
      <c r="X131" s="878"/>
      <c r="Y131" s="846"/>
    </row>
    <row r="132" spans="1:25">
      <c r="A132" s="3076">
        <v>4171</v>
      </c>
      <c r="B132" s="3287"/>
      <c r="C132" s="3251" t="s">
        <v>123</v>
      </c>
      <c r="D132" s="3066" t="s">
        <v>4964</v>
      </c>
      <c r="E132" s="858" t="s">
        <v>4965</v>
      </c>
      <c r="F132" s="844"/>
      <c r="G132" s="872"/>
      <c r="H132" s="852"/>
      <c r="I132" s="872"/>
      <c r="J132" s="872"/>
      <c r="K132" s="857">
        <f>+K134</f>
        <v>40</v>
      </c>
      <c r="L132" s="869">
        <f>+L133+L134+L135</f>
        <v>1</v>
      </c>
      <c r="M132" s="2380">
        <f>M134</f>
        <v>0</v>
      </c>
      <c r="N132" s="1211">
        <f>SUM(N133:N134)</f>
        <v>4.4999999999999998E-2</v>
      </c>
      <c r="O132" s="3289">
        <f>IF(Q132&gt;0,N132,"na")</f>
        <v>4.4999999999999998E-2</v>
      </c>
      <c r="P132" s="2382">
        <f t="shared" ref="P132:S132" si="100">SUM(P133:P135)</f>
        <v>500000000</v>
      </c>
      <c r="Q132" s="2382">
        <f t="shared" si="100"/>
        <v>500000000</v>
      </c>
      <c r="R132" s="2382">
        <f t="shared" si="100"/>
        <v>115033000</v>
      </c>
      <c r="S132" s="2382">
        <f t="shared" si="100"/>
        <v>43531000</v>
      </c>
      <c r="T132" s="1212">
        <f t="shared" ref="T132:U137" si="101">IF(Q132=0,0,R132/Q132)</f>
        <v>0.23006599999999999</v>
      </c>
      <c r="U132" s="1212">
        <f t="shared" si="101"/>
        <v>0.37842184416645658</v>
      </c>
      <c r="V132" s="2392"/>
      <c r="W132" s="2392"/>
      <c r="X132" s="878"/>
      <c r="Y132" s="3076" t="s">
        <v>4724</v>
      </c>
    </row>
    <row r="133" spans="1:25" ht="79.2">
      <c r="A133" s="3285"/>
      <c r="B133" s="3285"/>
      <c r="C133" s="3288"/>
      <c r="D133" s="3285"/>
      <c r="E133" s="858" t="s">
        <v>4966</v>
      </c>
      <c r="F133" s="3293"/>
      <c r="G133" s="3076" t="s">
        <v>4967</v>
      </c>
      <c r="H133" s="3251"/>
      <c r="I133" s="857" t="s">
        <v>4968</v>
      </c>
      <c r="J133" s="857" t="s">
        <v>4969</v>
      </c>
      <c r="K133" s="857">
        <v>40</v>
      </c>
      <c r="L133" s="869">
        <v>0.35</v>
      </c>
      <c r="M133" s="2380">
        <v>0</v>
      </c>
      <c r="N133" s="1060">
        <v>0</v>
      </c>
      <c r="O133" s="3290"/>
      <c r="P133" s="2382">
        <v>62011600</v>
      </c>
      <c r="Q133" s="2382">
        <v>62011600</v>
      </c>
      <c r="R133" s="2382">
        <v>0</v>
      </c>
      <c r="S133" s="2382">
        <v>0</v>
      </c>
      <c r="T133" s="1212">
        <f t="shared" si="101"/>
        <v>0</v>
      </c>
      <c r="U133" s="1212">
        <f t="shared" si="101"/>
        <v>0</v>
      </c>
      <c r="V133" s="2393"/>
      <c r="W133" s="2394"/>
      <c r="X133" s="878"/>
      <c r="Y133" s="3285"/>
    </row>
    <row r="134" spans="1:25" ht="92.4">
      <c r="A134" s="3285"/>
      <c r="B134" s="3285"/>
      <c r="C134" s="3288"/>
      <c r="D134" s="3285"/>
      <c r="E134" s="858" t="s">
        <v>4970</v>
      </c>
      <c r="F134" s="3285"/>
      <c r="G134" s="3285"/>
      <c r="H134" s="3285"/>
      <c r="I134" s="857" t="s">
        <v>4971</v>
      </c>
      <c r="J134" s="857" t="s">
        <v>4972</v>
      </c>
      <c r="K134" s="857">
        <v>40</v>
      </c>
      <c r="L134" s="869">
        <v>0.45</v>
      </c>
      <c r="M134" s="2380">
        <v>0</v>
      </c>
      <c r="N134" s="1060">
        <v>4.4999999999999998E-2</v>
      </c>
      <c r="O134" s="3290"/>
      <c r="P134" s="2382">
        <v>419988400</v>
      </c>
      <c r="Q134" s="2382">
        <v>419988400</v>
      </c>
      <c r="R134" s="2382">
        <v>115033000</v>
      </c>
      <c r="S134" s="2382">
        <v>43531000</v>
      </c>
      <c r="T134" s="1212">
        <f t="shared" si="101"/>
        <v>0.27389565997537074</v>
      </c>
      <c r="U134" s="1212">
        <f t="shared" si="101"/>
        <v>0.37842184416645658</v>
      </c>
      <c r="V134" s="2393">
        <v>45310</v>
      </c>
      <c r="W134" s="2394">
        <v>45657</v>
      </c>
      <c r="X134" s="878" t="s">
        <v>4973</v>
      </c>
      <c r="Y134" s="3285"/>
    </row>
    <row r="135" spans="1:25" ht="39.6">
      <c r="A135" s="3285"/>
      <c r="B135" s="3285"/>
      <c r="C135" s="3285"/>
      <c r="D135" s="3285"/>
      <c r="E135" s="858" t="s">
        <v>4974</v>
      </c>
      <c r="F135" s="3285"/>
      <c r="G135" s="3285"/>
      <c r="H135" s="3285"/>
      <c r="I135" s="857" t="s">
        <v>4975</v>
      </c>
      <c r="J135" s="857" t="s">
        <v>4750</v>
      </c>
      <c r="K135" s="857">
        <v>40</v>
      </c>
      <c r="L135" s="869">
        <v>0.2</v>
      </c>
      <c r="M135" s="2380">
        <v>0</v>
      </c>
      <c r="N135" s="1060">
        <v>0</v>
      </c>
      <c r="O135" s="3290"/>
      <c r="P135" s="2382">
        <v>18000000</v>
      </c>
      <c r="Q135" s="2382">
        <v>18000000</v>
      </c>
      <c r="R135" s="2382">
        <v>0</v>
      </c>
      <c r="S135" s="2382">
        <v>0</v>
      </c>
      <c r="T135" s="1212">
        <f t="shared" si="101"/>
        <v>0</v>
      </c>
      <c r="U135" s="1212">
        <f t="shared" si="101"/>
        <v>0</v>
      </c>
      <c r="V135" s="2393"/>
      <c r="W135" s="2394"/>
      <c r="X135" s="878"/>
      <c r="Y135" s="3285"/>
    </row>
    <row r="136" spans="1:25">
      <c r="A136" s="3076">
        <v>4171</v>
      </c>
      <c r="B136" s="3292"/>
      <c r="C136" s="3076" t="s">
        <v>123</v>
      </c>
      <c r="D136" s="3066" t="s">
        <v>4976</v>
      </c>
      <c r="E136" s="858" t="s">
        <v>4977</v>
      </c>
      <c r="F136" s="844"/>
      <c r="G136" s="872"/>
      <c r="H136" s="1107"/>
      <c r="I136" s="872"/>
      <c r="J136" s="872"/>
      <c r="K136" s="857">
        <f>K137</f>
        <v>60</v>
      </c>
      <c r="L136" s="869">
        <f>+L137</f>
        <v>1</v>
      </c>
      <c r="M136" s="853">
        <f>M137</f>
        <v>0</v>
      </c>
      <c r="N136" s="1211">
        <f>SUM(N137:N138)</f>
        <v>0</v>
      </c>
      <c r="O136" s="3289">
        <f>IF(Q136&gt;0,N136,"na")</f>
        <v>0</v>
      </c>
      <c r="P136" s="2382">
        <f t="shared" ref="P136:Q136" si="102">SUM(P137)</f>
        <v>423822200</v>
      </c>
      <c r="Q136" s="2382">
        <f t="shared" si="102"/>
        <v>423822200</v>
      </c>
      <c r="R136" s="2382">
        <f t="shared" ref="R136:S136" si="103">SUM(R137:R138)</f>
        <v>0</v>
      </c>
      <c r="S136" s="2382">
        <f t="shared" si="103"/>
        <v>0</v>
      </c>
      <c r="T136" s="1212">
        <f t="shared" si="101"/>
        <v>0</v>
      </c>
      <c r="U136" s="1212">
        <f t="shared" si="101"/>
        <v>0</v>
      </c>
      <c r="V136" s="2392"/>
      <c r="W136" s="2392"/>
      <c r="X136" s="878"/>
      <c r="Y136" s="3076" t="s">
        <v>4724</v>
      </c>
    </row>
    <row r="137" spans="1:25" ht="92.4">
      <c r="A137" s="3285"/>
      <c r="B137" s="3285"/>
      <c r="C137" s="3285"/>
      <c r="D137" s="3285"/>
      <c r="E137" s="858" t="s">
        <v>4978</v>
      </c>
      <c r="F137" s="844"/>
      <c r="G137" s="858" t="s">
        <v>4754</v>
      </c>
      <c r="H137" s="1107"/>
      <c r="I137" s="857" t="s">
        <v>4979</v>
      </c>
      <c r="J137" s="857" t="s">
        <v>4750</v>
      </c>
      <c r="K137" s="857">
        <v>60</v>
      </c>
      <c r="L137" s="869">
        <v>1</v>
      </c>
      <c r="M137" s="853">
        <v>0</v>
      </c>
      <c r="N137" s="1211">
        <v>0</v>
      </c>
      <c r="O137" s="3290"/>
      <c r="P137" s="2382">
        <v>423822200</v>
      </c>
      <c r="Q137" s="2382">
        <v>423822200</v>
      </c>
      <c r="R137" s="2382">
        <v>0</v>
      </c>
      <c r="S137" s="2382">
        <v>0</v>
      </c>
      <c r="T137" s="1212">
        <f t="shared" si="101"/>
        <v>0</v>
      </c>
      <c r="U137" s="1212">
        <f t="shared" si="101"/>
        <v>0</v>
      </c>
      <c r="V137" s="2393"/>
      <c r="W137" s="2393"/>
      <c r="X137" s="878"/>
      <c r="Y137" s="3285"/>
    </row>
    <row r="138" spans="1:25" ht="15.6">
      <c r="A138" s="872"/>
      <c r="B138" s="852">
        <v>54</v>
      </c>
      <c r="C138" s="2205" t="s">
        <v>114</v>
      </c>
      <c r="D138" s="2206" t="s">
        <v>122</v>
      </c>
      <c r="E138" s="872"/>
      <c r="F138" s="844"/>
      <c r="G138" s="872"/>
      <c r="H138" s="872"/>
      <c r="I138" s="872"/>
      <c r="J138" s="872"/>
      <c r="K138" s="872"/>
      <c r="L138" s="2391"/>
      <c r="M138" s="857"/>
      <c r="N138" s="1211"/>
      <c r="O138" s="1214"/>
      <c r="P138" s="1081"/>
      <c r="Q138" s="1081"/>
      <c r="R138" s="1081"/>
      <c r="S138" s="1081"/>
      <c r="T138" s="2377"/>
      <c r="U138" s="2378"/>
      <c r="V138" s="872"/>
      <c r="W138" s="872"/>
      <c r="X138" s="878"/>
      <c r="Y138" s="872"/>
    </row>
    <row r="139" spans="1:25" ht="15.6">
      <c r="A139" s="872"/>
      <c r="B139" s="852">
        <v>5402</v>
      </c>
      <c r="C139" s="2205" t="s">
        <v>115</v>
      </c>
      <c r="D139" s="839" t="s">
        <v>118</v>
      </c>
      <c r="E139" s="872"/>
      <c r="F139" s="844"/>
      <c r="G139" s="872"/>
      <c r="H139" s="872"/>
      <c r="I139" s="872"/>
      <c r="J139" s="872"/>
      <c r="K139" s="872"/>
      <c r="L139" s="2391"/>
      <c r="M139" s="857"/>
      <c r="N139" s="1211"/>
      <c r="O139" s="1214"/>
      <c r="P139" s="1081"/>
      <c r="Q139" s="1081"/>
      <c r="R139" s="1081"/>
      <c r="S139" s="1081"/>
      <c r="T139" s="2377"/>
      <c r="U139" s="2378"/>
      <c r="V139" s="872"/>
      <c r="W139" s="872"/>
      <c r="X139" s="878"/>
      <c r="Y139" s="872"/>
    </row>
    <row r="140" spans="1:25">
      <c r="A140" s="872"/>
      <c r="B140" s="852">
        <v>5402001</v>
      </c>
      <c r="C140" s="2207" t="s">
        <v>116</v>
      </c>
      <c r="D140" s="872" t="s">
        <v>119</v>
      </c>
      <c r="E140" s="872"/>
      <c r="F140" s="844"/>
      <c r="G140" s="872"/>
      <c r="H140" s="872"/>
      <c r="I140" s="872"/>
      <c r="J140" s="872"/>
      <c r="K140" s="872"/>
      <c r="L140" s="2391"/>
      <c r="M140" s="857"/>
      <c r="N140" s="1211"/>
      <c r="O140" s="1214"/>
      <c r="P140" s="1081"/>
      <c r="Q140" s="1081"/>
      <c r="R140" s="1081"/>
      <c r="S140" s="1081"/>
      <c r="T140" s="2377"/>
      <c r="U140" s="2378"/>
      <c r="V140" s="872"/>
      <c r="W140" s="872"/>
      <c r="X140" s="878"/>
      <c r="Y140" s="872"/>
    </row>
    <row r="141" spans="1:25" s="46" customFormat="1" ht="27.6">
      <c r="A141" s="846"/>
      <c r="B141" s="851">
        <v>54020010026</v>
      </c>
      <c r="C141" s="851" t="s">
        <v>117</v>
      </c>
      <c r="D141" s="846" t="s">
        <v>4980</v>
      </c>
      <c r="E141" s="846"/>
      <c r="F141" s="844"/>
      <c r="G141" s="846"/>
      <c r="H141" s="844"/>
      <c r="I141" s="846"/>
      <c r="J141" s="846"/>
      <c r="K141" s="846">
        <f t="shared" ref="K141:K142" si="104">+K142</f>
        <v>1</v>
      </c>
      <c r="L141" s="2397"/>
      <c r="M141" s="846"/>
      <c r="N141" s="1248"/>
      <c r="O141" s="1176"/>
      <c r="P141" s="1258"/>
      <c r="Q141" s="1258"/>
      <c r="R141" s="1258"/>
      <c r="S141" s="1258"/>
      <c r="T141" s="2378"/>
      <c r="U141" s="2378"/>
      <c r="V141" s="846"/>
      <c r="W141" s="846"/>
      <c r="X141" s="878"/>
      <c r="Y141" s="846"/>
    </row>
    <row r="142" spans="1:25">
      <c r="A142" s="3076">
        <v>4171</v>
      </c>
      <c r="B142" s="3287"/>
      <c r="C142" s="3251" t="s">
        <v>123</v>
      </c>
      <c r="D142" s="3066" t="s">
        <v>4981</v>
      </c>
      <c r="E142" s="858" t="s">
        <v>4982</v>
      </c>
      <c r="F142" s="844"/>
      <c r="G142" s="872"/>
      <c r="H142" s="858"/>
      <c r="I142" s="872"/>
      <c r="J142" s="872"/>
      <c r="K142" s="857">
        <f t="shared" si="104"/>
        <v>1</v>
      </c>
      <c r="L142" s="869">
        <f>+L143+L144</f>
        <v>1</v>
      </c>
      <c r="M142" s="857">
        <f>M143</f>
        <v>0</v>
      </c>
      <c r="N142" s="1211">
        <f>SUM(N143:N144)</f>
        <v>0.1</v>
      </c>
      <c r="O142" s="3289">
        <f>IF(Q142&gt;0,N142,"na")</f>
        <v>0.1</v>
      </c>
      <c r="P142" s="1081">
        <f t="shared" ref="P142:S142" si="105">SUM(P143:P144)</f>
        <v>2574462000</v>
      </c>
      <c r="Q142" s="1081">
        <f t="shared" si="105"/>
        <v>2574462000</v>
      </c>
      <c r="R142" s="1081">
        <f t="shared" si="105"/>
        <v>736399000</v>
      </c>
      <c r="S142" s="1081">
        <f t="shared" si="105"/>
        <v>472330000</v>
      </c>
      <c r="T142" s="1212">
        <f t="shared" ref="T142:U144" si="106">IF(Q142=0,0,R142/Q142)</f>
        <v>0.28603995708617957</v>
      </c>
      <c r="U142" s="1212">
        <f t="shared" si="106"/>
        <v>0.6414049991920141</v>
      </c>
      <c r="V142" s="2392"/>
      <c r="W142" s="2392"/>
      <c r="X142" s="878"/>
      <c r="Y142" s="3076" t="s">
        <v>4935</v>
      </c>
    </row>
    <row r="143" spans="1:25" ht="158.4">
      <c r="A143" s="3285"/>
      <c r="B143" s="3285"/>
      <c r="C143" s="3288"/>
      <c r="D143" s="3285"/>
      <c r="E143" s="858" t="s">
        <v>4983</v>
      </c>
      <c r="F143" s="844"/>
      <c r="G143" s="3066" t="s">
        <v>4984</v>
      </c>
      <c r="H143" s="3076"/>
      <c r="I143" s="857" t="s">
        <v>4985</v>
      </c>
      <c r="J143" s="857" t="s">
        <v>2811</v>
      </c>
      <c r="K143" s="857">
        <v>1</v>
      </c>
      <c r="L143" s="869">
        <v>0.8</v>
      </c>
      <c r="M143" s="857">
        <v>0</v>
      </c>
      <c r="N143" s="1211">
        <v>0.1</v>
      </c>
      <c r="O143" s="3290"/>
      <c r="P143" s="1081">
        <v>2403007200</v>
      </c>
      <c r="Q143" s="1081">
        <v>2403007200</v>
      </c>
      <c r="R143" s="1081">
        <v>736399000</v>
      </c>
      <c r="S143" s="1081">
        <v>472330000</v>
      </c>
      <c r="T143" s="1212">
        <f t="shared" si="106"/>
        <v>0.30644893614967111</v>
      </c>
      <c r="U143" s="1212">
        <f t="shared" si="106"/>
        <v>0.6414049991920141</v>
      </c>
      <c r="V143" s="2393">
        <v>45310</v>
      </c>
      <c r="W143" s="2394">
        <v>45657</v>
      </c>
      <c r="X143" s="878" t="s">
        <v>4986</v>
      </c>
      <c r="Y143" s="3285"/>
    </row>
    <row r="144" spans="1:25" ht="26.4">
      <c r="A144" s="3285"/>
      <c r="B144" s="3285"/>
      <c r="C144" s="3285"/>
      <c r="D144" s="3285"/>
      <c r="E144" s="858" t="s">
        <v>4987</v>
      </c>
      <c r="F144" s="844"/>
      <c r="G144" s="3285"/>
      <c r="H144" s="3285"/>
      <c r="I144" s="857" t="s">
        <v>4988</v>
      </c>
      <c r="J144" s="857" t="s">
        <v>1340</v>
      </c>
      <c r="K144" s="857">
        <v>1</v>
      </c>
      <c r="L144" s="869">
        <v>0.2</v>
      </c>
      <c r="M144" s="857">
        <v>0</v>
      </c>
      <c r="N144" s="1211">
        <v>0</v>
      </c>
      <c r="O144" s="3290"/>
      <c r="P144" s="1081">
        <v>171454800</v>
      </c>
      <c r="Q144" s="1081">
        <v>171454800</v>
      </c>
      <c r="R144" s="1081">
        <v>0</v>
      </c>
      <c r="S144" s="1081">
        <v>0</v>
      </c>
      <c r="T144" s="1212">
        <f t="shared" si="106"/>
        <v>0</v>
      </c>
      <c r="U144" s="1212">
        <f t="shared" si="106"/>
        <v>0</v>
      </c>
      <c r="V144" s="2393"/>
      <c r="W144" s="2394"/>
      <c r="X144" s="878"/>
      <c r="Y144" s="3285"/>
    </row>
    <row r="145" spans="1:25" ht="27.6">
      <c r="A145" s="872"/>
      <c r="B145" s="852">
        <v>5402002</v>
      </c>
      <c r="C145" s="2207" t="s">
        <v>116</v>
      </c>
      <c r="D145" s="872" t="s">
        <v>590</v>
      </c>
      <c r="E145" s="872"/>
      <c r="F145" s="844"/>
      <c r="G145" s="872"/>
      <c r="H145" s="872"/>
      <c r="I145" s="872"/>
      <c r="J145" s="872"/>
      <c r="K145" s="872"/>
      <c r="L145" s="2391"/>
      <c r="M145" s="857"/>
      <c r="N145" s="1211"/>
      <c r="O145" s="1214"/>
      <c r="P145" s="1081"/>
      <c r="Q145" s="1081"/>
      <c r="R145" s="1081"/>
      <c r="S145" s="1081"/>
      <c r="T145" s="2377"/>
      <c r="U145" s="2378"/>
      <c r="V145" s="872"/>
      <c r="W145" s="872"/>
      <c r="X145" s="878"/>
      <c r="Y145" s="872"/>
    </row>
    <row r="146" spans="1:25" s="46" customFormat="1" ht="27.6">
      <c r="A146" s="846"/>
      <c r="B146" s="851">
        <v>54020020014</v>
      </c>
      <c r="C146" s="851" t="s">
        <v>117</v>
      </c>
      <c r="D146" s="846" t="s">
        <v>4989</v>
      </c>
      <c r="E146" s="846"/>
      <c r="F146" s="844"/>
      <c r="G146" s="846"/>
      <c r="H146" s="844"/>
      <c r="I146" s="846"/>
      <c r="J146" s="846"/>
      <c r="K146" s="846"/>
      <c r="L146" s="2397"/>
      <c r="M146" s="846"/>
      <c r="N146" s="1248"/>
      <c r="O146" s="1176"/>
      <c r="P146" s="1258"/>
      <c r="Q146" s="1258"/>
      <c r="R146" s="1258"/>
      <c r="S146" s="1258"/>
      <c r="T146" s="2378"/>
      <c r="U146" s="2378"/>
      <c r="V146" s="846"/>
      <c r="W146" s="846"/>
      <c r="X146" s="878"/>
      <c r="Y146" s="846"/>
    </row>
    <row r="147" spans="1:25">
      <c r="A147" s="3076">
        <v>4171</v>
      </c>
      <c r="B147" s="3287"/>
      <c r="C147" s="3251" t="s">
        <v>123</v>
      </c>
      <c r="D147" s="3066" t="s">
        <v>4990</v>
      </c>
      <c r="E147" s="858" t="s">
        <v>4991</v>
      </c>
      <c r="F147" s="844"/>
      <c r="G147" s="872"/>
      <c r="H147" s="858"/>
      <c r="I147" s="872"/>
      <c r="J147" s="872"/>
      <c r="K147" s="857">
        <f>K148</f>
        <v>2</v>
      </c>
      <c r="L147" s="869">
        <f>+L148+L149</f>
        <v>1</v>
      </c>
      <c r="M147" s="857">
        <f>M148</f>
        <v>0</v>
      </c>
      <c r="N147" s="1211">
        <f>SUM(N148:N149)</f>
        <v>0.14000000000000001</v>
      </c>
      <c r="O147" s="3289">
        <f>IF(Q147&gt;0,N147,"na")</f>
        <v>0.14000000000000001</v>
      </c>
      <c r="P147" s="1081">
        <f t="shared" ref="P147:S147" si="107">SUM(P148:P149)</f>
        <v>447125200</v>
      </c>
      <c r="Q147" s="1081">
        <f t="shared" si="107"/>
        <v>447125200</v>
      </c>
      <c r="R147" s="1081">
        <f t="shared" si="107"/>
        <v>94078500</v>
      </c>
      <c r="S147" s="1081">
        <f t="shared" si="107"/>
        <v>65577500</v>
      </c>
      <c r="T147" s="1212">
        <f t="shared" ref="T147:U151" si="108">IF(Q147=0,0,R147/Q147)</f>
        <v>0.2104075100218015</v>
      </c>
      <c r="U147" s="1212">
        <f t="shared" si="108"/>
        <v>0.69705086709503239</v>
      </c>
      <c r="V147" s="2392"/>
      <c r="W147" s="2392"/>
      <c r="X147" s="878"/>
      <c r="Y147" s="3076" t="s">
        <v>4935</v>
      </c>
    </row>
    <row r="148" spans="1:25" ht="92.4">
      <c r="A148" s="3285"/>
      <c r="B148" s="3285"/>
      <c r="C148" s="3288"/>
      <c r="D148" s="3285"/>
      <c r="E148" s="858" t="s">
        <v>4992</v>
      </c>
      <c r="F148" s="844"/>
      <c r="G148" s="3066" t="s">
        <v>4993</v>
      </c>
      <c r="H148" s="3076"/>
      <c r="I148" s="857" t="s">
        <v>4994</v>
      </c>
      <c r="J148" s="857" t="s">
        <v>138</v>
      </c>
      <c r="K148" s="857">
        <v>2</v>
      </c>
      <c r="L148" s="869">
        <v>0.6</v>
      </c>
      <c r="M148" s="857">
        <v>0</v>
      </c>
      <c r="N148" s="1211">
        <v>7.0000000000000007E-2</v>
      </c>
      <c r="O148" s="3290"/>
      <c r="P148" s="1081">
        <v>231608800</v>
      </c>
      <c r="Q148" s="1081">
        <v>231608800</v>
      </c>
      <c r="R148" s="1081">
        <v>73154500</v>
      </c>
      <c r="S148" s="1081">
        <v>49884500</v>
      </c>
      <c r="T148" s="1212">
        <f t="shared" si="108"/>
        <v>0.315853715402869</v>
      </c>
      <c r="U148" s="1212">
        <f t="shared" si="108"/>
        <v>0.68190610283714603</v>
      </c>
      <c r="V148" s="2393">
        <v>45310</v>
      </c>
      <c r="W148" s="2394">
        <v>45657</v>
      </c>
      <c r="X148" s="878" t="s">
        <v>4995</v>
      </c>
      <c r="Y148" s="3285"/>
    </row>
    <row r="149" spans="1:25" ht="92.4">
      <c r="A149" s="3286"/>
      <c r="B149" s="3286"/>
      <c r="C149" s="3286"/>
      <c r="D149" s="3286"/>
      <c r="E149" s="1124" t="s">
        <v>4996</v>
      </c>
      <c r="F149" s="2379"/>
      <c r="G149" s="3286"/>
      <c r="H149" s="3286"/>
      <c r="I149" s="883" t="s">
        <v>4997</v>
      </c>
      <c r="J149" s="883" t="s">
        <v>207</v>
      </c>
      <c r="K149" s="883">
        <v>2</v>
      </c>
      <c r="L149" s="1126">
        <v>0.4</v>
      </c>
      <c r="M149" s="883">
        <v>0</v>
      </c>
      <c r="N149" s="2381">
        <v>7.0000000000000007E-2</v>
      </c>
      <c r="O149" s="3291"/>
      <c r="P149" s="1129">
        <v>215516400</v>
      </c>
      <c r="Q149" s="1129">
        <v>215516400</v>
      </c>
      <c r="R149" s="1129">
        <v>20924000</v>
      </c>
      <c r="S149" s="1129">
        <v>15693000</v>
      </c>
      <c r="T149" s="1244">
        <f t="shared" si="108"/>
        <v>9.7087739030533179E-2</v>
      </c>
      <c r="U149" s="1244">
        <f t="shared" si="108"/>
        <v>0.75</v>
      </c>
      <c r="V149" s="2395">
        <v>45310</v>
      </c>
      <c r="W149" s="2396">
        <v>45657</v>
      </c>
      <c r="X149" s="1747" t="s">
        <v>4998</v>
      </c>
      <c r="Y149" s="3286"/>
    </row>
    <row r="150" spans="1:25">
      <c r="A150" s="2383"/>
      <c r="B150" s="2383"/>
      <c r="C150" s="2383"/>
      <c r="D150" s="2383"/>
      <c r="E150" s="2367"/>
      <c r="F150" s="113"/>
      <c r="G150" s="2383"/>
      <c r="H150" s="2383"/>
      <c r="I150" s="2368"/>
      <c r="J150" s="2368"/>
      <c r="K150" s="2368"/>
      <c r="L150" s="2384"/>
      <c r="M150" s="126"/>
      <c r="N150" s="2385"/>
      <c r="O150" s="2386"/>
      <c r="P150" s="135"/>
      <c r="Q150" s="135"/>
      <c r="R150" s="135"/>
      <c r="S150" s="135"/>
      <c r="T150" s="2372"/>
      <c r="U150" s="2371"/>
      <c r="V150" s="2369"/>
      <c r="W150" s="2370"/>
      <c r="X150" s="2041"/>
      <c r="Y150" s="2383"/>
    </row>
    <row r="151" spans="1:25" s="46" customFormat="1">
      <c r="A151" s="57"/>
      <c r="B151" s="113" t="s">
        <v>50</v>
      </c>
      <c r="C151" s="113">
        <f>COUNTIF(C7:C149,"pr")</f>
        <v>41</v>
      </c>
      <c r="D151" s="57"/>
      <c r="E151" s="53" t="s">
        <v>126</v>
      </c>
      <c r="F151" s="113"/>
      <c r="G151" s="113">
        <f>COUNTIF(O7:O149,"na")</f>
        <v>0</v>
      </c>
      <c r="H151" s="57"/>
      <c r="I151" s="57"/>
      <c r="J151" s="57"/>
      <c r="K151" s="57"/>
      <c r="L151" s="1757"/>
      <c r="M151" s="113"/>
      <c r="N151" s="113" t="s">
        <v>4999</v>
      </c>
      <c r="O151" s="2387">
        <f>AVERAGE(O7:O149)</f>
        <v>1.6804878048780485E-2</v>
      </c>
      <c r="P151" s="1907">
        <f t="shared" ref="P151:S151" si="109">SUM(P11,P17,P20,P23,P26,P32,P38,P43,P46,P50,P55,P61,P64,P66,P68,P70,P72,P76,P78,P80,P82,P84,P86,P88,P90,P92,P94,P96,P98,P101,P104,P109,P113,P117,P122,P126,P132,P136,P142,P147,P74)</f>
        <v>37598070086</v>
      </c>
      <c r="Q151" s="1907">
        <f t="shared" si="109"/>
        <v>37598070086</v>
      </c>
      <c r="R151" s="1907">
        <f t="shared" si="109"/>
        <v>2697985402</v>
      </c>
      <c r="S151" s="1907">
        <f t="shared" si="109"/>
        <v>1100471502</v>
      </c>
      <c r="T151" s="2388">
        <f t="shared" si="108"/>
        <v>7.1758614094520251E-2</v>
      </c>
      <c r="U151" s="2388">
        <f t="shared" si="108"/>
        <v>0.40788638114358483</v>
      </c>
      <c r="V151" s="113"/>
      <c r="W151" s="113"/>
      <c r="X151" s="113"/>
      <c r="Y151" s="113"/>
    </row>
    <row r="152" spans="1:25" s="46" customFormat="1">
      <c r="A152" s="113"/>
      <c r="B152" s="113"/>
      <c r="C152" s="113"/>
      <c r="D152" s="113"/>
      <c r="E152" s="113"/>
      <c r="F152" s="113"/>
      <c r="G152" s="57"/>
      <c r="H152" s="57"/>
      <c r="I152" s="57"/>
      <c r="J152" s="57"/>
      <c r="K152" s="57"/>
      <c r="L152" s="1757"/>
      <c r="M152" s="113"/>
      <c r="N152" s="2068" t="s">
        <v>5000</v>
      </c>
      <c r="O152" s="113">
        <f>COUNTIF(O7:O149,"=0%")</f>
        <v>27</v>
      </c>
      <c r="P152" s="1907">
        <v>37598070086</v>
      </c>
      <c r="Q152" s="1907">
        <v>37598070086</v>
      </c>
      <c r="R152" s="1907">
        <v>2697985402</v>
      </c>
      <c r="S152" s="1907">
        <v>1100471502</v>
      </c>
      <c r="T152" s="113"/>
      <c r="U152" s="113"/>
      <c r="V152" s="113"/>
      <c r="W152" s="113"/>
      <c r="X152" s="113"/>
      <c r="Y152" s="113"/>
    </row>
  </sheetData>
  <autoFilter ref="A5:Y149" xr:uid="{00000000-0009-0000-0000-000017000000}"/>
  <mergeCells count="308">
    <mergeCell ref="A1:X1"/>
    <mergeCell ref="E5:E6"/>
    <mergeCell ref="L5:L6"/>
    <mergeCell ref="J5:J6"/>
    <mergeCell ref="F5:F6"/>
    <mergeCell ref="A2:Y2"/>
    <mergeCell ref="A3:B3"/>
    <mergeCell ref="A5:A6"/>
    <mergeCell ref="C5:C6"/>
    <mergeCell ref="D5:D6"/>
    <mergeCell ref="S5:S6"/>
    <mergeCell ref="T5:T6"/>
    <mergeCell ref="U5:U6"/>
    <mergeCell ref="V3:W3"/>
    <mergeCell ref="W5:W6"/>
    <mergeCell ref="R5:R6"/>
    <mergeCell ref="Y5:Y6"/>
    <mergeCell ref="X5:X6"/>
    <mergeCell ref="C3:S3"/>
    <mergeCell ref="T3:U3"/>
    <mergeCell ref="A4:X4"/>
    <mergeCell ref="B5:B6"/>
    <mergeCell ref="O5:O6"/>
    <mergeCell ref="P5:P6"/>
    <mergeCell ref="Q5:Q6"/>
    <mergeCell ref="M5:M6"/>
    <mergeCell ref="N5:N6"/>
    <mergeCell ref="I5:I6"/>
    <mergeCell ref="G5:G6"/>
    <mergeCell ref="H5:H6"/>
    <mergeCell ref="K5:K6"/>
    <mergeCell ref="V5:V6"/>
    <mergeCell ref="Y11:Y13"/>
    <mergeCell ref="F12:F13"/>
    <mergeCell ref="G12:G13"/>
    <mergeCell ref="H12:H13"/>
    <mergeCell ref="A17:A18"/>
    <mergeCell ref="B17:B18"/>
    <mergeCell ref="C17:C18"/>
    <mergeCell ref="D17:D18"/>
    <mergeCell ref="O17:O18"/>
    <mergeCell ref="Y17:Y18"/>
    <mergeCell ref="A11:A13"/>
    <mergeCell ref="B11:B13"/>
    <mergeCell ref="C11:C13"/>
    <mergeCell ref="D11:D13"/>
    <mergeCell ref="O11:O13"/>
    <mergeCell ref="Y20:Y22"/>
    <mergeCell ref="F21:F22"/>
    <mergeCell ref="G21:G22"/>
    <mergeCell ref="H21:H22"/>
    <mergeCell ref="A23:A24"/>
    <mergeCell ref="B23:B24"/>
    <mergeCell ref="C23:C24"/>
    <mergeCell ref="D23:D24"/>
    <mergeCell ref="O23:O24"/>
    <mergeCell ref="Y23:Y24"/>
    <mergeCell ref="A20:A22"/>
    <mergeCell ref="B20:B22"/>
    <mergeCell ref="C20:C22"/>
    <mergeCell ref="D20:D22"/>
    <mergeCell ref="O20:O22"/>
    <mergeCell ref="Y26:Y29"/>
    <mergeCell ref="F27:F29"/>
    <mergeCell ref="G27:G29"/>
    <mergeCell ref="H27:H29"/>
    <mergeCell ref="A32:A34"/>
    <mergeCell ref="B32:B34"/>
    <mergeCell ref="C32:C34"/>
    <mergeCell ref="D32:D34"/>
    <mergeCell ref="O32:O34"/>
    <mergeCell ref="Y32:Y34"/>
    <mergeCell ref="F33:F34"/>
    <mergeCell ref="G33:G34"/>
    <mergeCell ref="A26:A29"/>
    <mergeCell ref="B26:B29"/>
    <mergeCell ref="C26:C29"/>
    <mergeCell ref="D26:D29"/>
    <mergeCell ref="O26:O29"/>
    <mergeCell ref="Y38:Y39"/>
    <mergeCell ref="A43:A45"/>
    <mergeCell ref="B43:B45"/>
    <mergeCell ref="C43:C45"/>
    <mergeCell ref="D43:D45"/>
    <mergeCell ref="O43:O45"/>
    <mergeCell ref="Y43:Y45"/>
    <mergeCell ref="F44:F45"/>
    <mergeCell ref="A38:A39"/>
    <mergeCell ref="B38:B39"/>
    <mergeCell ref="C38:C39"/>
    <mergeCell ref="D38:D39"/>
    <mergeCell ref="O38:O39"/>
    <mergeCell ref="Y46:Y48"/>
    <mergeCell ref="F47:F48"/>
    <mergeCell ref="A50:A53"/>
    <mergeCell ref="B50:B53"/>
    <mergeCell ref="C50:C53"/>
    <mergeCell ref="D50:D53"/>
    <mergeCell ref="O50:O53"/>
    <mergeCell ref="Y50:Y53"/>
    <mergeCell ref="F51:F53"/>
    <mergeCell ref="A46:A48"/>
    <mergeCell ref="B46:B48"/>
    <mergeCell ref="C46:C48"/>
    <mergeCell ref="D46:D48"/>
    <mergeCell ref="O46:O48"/>
    <mergeCell ref="Y55:Y58"/>
    <mergeCell ref="F56:F58"/>
    <mergeCell ref="A61:A63"/>
    <mergeCell ref="B61:B63"/>
    <mergeCell ref="C61:C63"/>
    <mergeCell ref="D61:D63"/>
    <mergeCell ref="O61:O63"/>
    <mergeCell ref="Y61:Y63"/>
    <mergeCell ref="A55:A58"/>
    <mergeCell ref="B55:B58"/>
    <mergeCell ref="C55:C58"/>
    <mergeCell ref="D55:D58"/>
    <mergeCell ref="O55:O58"/>
    <mergeCell ref="Y64:Y65"/>
    <mergeCell ref="A66:A67"/>
    <mergeCell ref="B66:B67"/>
    <mergeCell ref="C66:C67"/>
    <mergeCell ref="D66:D67"/>
    <mergeCell ref="O66:O67"/>
    <mergeCell ref="Y66:Y67"/>
    <mergeCell ref="A64:A65"/>
    <mergeCell ref="B64:B65"/>
    <mergeCell ref="C64:C65"/>
    <mergeCell ref="D64:D65"/>
    <mergeCell ref="O64:O65"/>
    <mergeCell ref="Y68:Y69"/>
    <mergeCell ref="A70:A71"/>
    <mergeCell ref="B70:B71"/>
    <mergeCell ref="C70:C71"/>
    <mergeCell ref="D70:D71"/>
    <mergeCell ref="O70:O71"/>
    <mergeCell ref="Y70:Y71"/>
    <mergeCell ref="A68:A69"/>
    <mergeCell ref="B68:B69"/>
    <mergeCell ref="C68:C69"/>
    <mergeCell ref="D68:D69"/>
    <mergeCell ref="O68:O69"/>
    <mergeCell ref="Y72:Y73"/>
    <mergeCell ref="A74:A75"/>
    <mergeCell ref="B74:B75"/>
    <mergeCell ref="C74:C75"/>
    <mergeCell ref="D74:D75"/>
    <mergeCell ref="O74:O75"/>
    <mergeCell ref="Y74:Y75"/>
    <mergeCell ref="A72:A73"/>
    <mergeCell ref="B72:B73"/>
    <mergeCell ref="C72:C73"/>
    <mergeCell ref="D72:D73"/>
    <mergeCell ref="O72:O73"/>
    <mergeCell ref="Y76:Y77"/>
    <mergeCell ref="A78:A79"/>
    <mergeCell ref="B78:B79"/>
    <mergeCell ref="C78:C79"/>
    <mergeCell ref="D78:D79"/>
    <mergeCell ref="O78:O79"/>
    <mergeCell ref="Y78:Y79"/>
    <mergeCell ref="A76:A77"/>
    <mergeCell ref="B76:B77"/>
    <mergeCell ref="C76:C77"/>
    <mergeCell ref="D76:D77"/>
    <mergeCell ref="O76:O77"/>
    <mergeCell ref="Y80:Y81"/>
    <mergeCell ref="A82:A83"/>
    <mergeCell ref="B82:B83"/>
    <mergeCell ref="C82:C83"/>
    <mergeCell ref="D82:D83"/>
    <mergeCell ref="O82:O83"/>
    <mergeCell ref="Y82:Y83"/>
    <mergeCell ref="A80:A81"/>
    <mergeCell ref="B80:B81"/>
    <mergeCell ref="C80:C81"/>
    <mergeCell ref="D80:D81"/>
    <mergeCell ref="O80:O81"/>
    <mergeCell ref="Y84:Y85"/>
    <mergeCell ref="A86:A87"/>
    <mergeCell ref="B86:B87"/>
    <mergeCell ref="C86:C87"/>
    <mergeCell ref="D86:D87"/>
    <mergeCell ref="O86:O87"/>
    <mergeCell ref="Y86:Y87"/>
    <mergeCell ref="A84:A85"/>
    <mergeCell ref="B84:B85"/>
    <mergeCell ref="C84:C85"/>
    <mergeCell ref="D84:D85"/>
    <mergeCell ref="O84:O85"/>
    <mergeCell ref="Y88:Y89"/>
    <mergeCell ref="A90:A91"/>
    <mergeCell ref="B90:B91"/>
    <mergeCell ref="C90:C91"/>
    <mergeCell ref="D90:D91"/>
    <mergeCell ref="O90:O91"/>
    <mergeCell ref="Y90:Y91"/>
    <mergeCell ref="A88:A89"/>
    <mergeCell ref="B88:B89"/>
    <mergeCell ref="C88:C89"/>
    <mergeCell ref="D88:D89"/>
    <mergeCell ref="O88:O89"/>
    <mergeCell ref="Y92:Y93"/>
    <mergeCell ref="A94:A95"/>
    <mergeCell ref="B94:B95"/>
    <mergeCell ref="C94:C95"/>
    <mergeCell ref="D94:D95"/>
    <mergeCell ref="O94:O95"/>
    <mergeCell ref="Y94:Y95"/>
    <mergeCell ref="A92:A93"/>
    <mergeCell ref="B92:B93"/>
    <mergeCell ref="C92:C93"/>
    <mergeCell ref="D92:D93"/>
    <mergeCell ref="O92:O93"/>
    <mergeCell ref="Y96:Y97"/>
    <mergeCell ref="A98:A99"/>
    <mergeCell ref="B98:B99"/>
    <mergeCell ref="C98:C99"/>
    <mergeCell ref="D98:D99"/>
    <mergeCell ref="O98:O99"/>
    <mergeCell ref="Y98:Y99"/>
    <mergeCell ref="A96:A97"/>
    <mergeCell ref="B96:B97"/>
    <mergeCell ref="C96:C97"/>
    <mergeCell ref="D96:D97"/>
    <mergeCell ref="O96:O97"/>
    <mergeCell ref="Y101:Y102"/>
    <mergeCell ref="A104:A105"/>
    <mergeCell ref="B104:B105"/>
    <mergeCell ref="C104:C105"/>
    <mergeCell ref="D104:D105"/>
    <mergeCell ref="O104:O105"/>
    <mergeCell ref="Y104:Y105"/>
    <mergeCell ref="A101:A102"/>
    <mergeCell ref="B101:B102"/>
    <mergeCell ref="C101:C102"/>
    <mergeCell ref="D101:D102"/>
    <mergeCell ref="O101:O102"/>
    <mergeCell ref="Y109:Y111"/>
    <mergeCell ref="F110:F111"/>
    <mergeCell ref="G110:G111"/>
    <mergeCell ref="H110:H111"/>
    <mergeCell ref="A113:A115"/>
    <mergeCell ref="B113:B115"/>
    <mergeCell ref="C113:C115"/>
    <mergeCell ref="D113:D115"/>
    <mergeCell ref="O113:O115"/>
    <mergeCell ref="Y113:Y115"/>
    <mergeCell ref="F114:F115"/>
    <mergeCell ref="G114:G115"/>
    <mergeCell ref="H114:H115"/>
    <mergeCell ref="A109:A111"/>
    <mergeCell ref="B109:B111"/>
    <mergeCell ref="C109:C111"/>
    <mergeCell ref="D109:D111"/>
    <mergeCell ref="O109:O111"/>
    <mergeCell ref="Y117:Y119"/>
    <mergeCell ref="F118:F119"/>
    <mergeCell ref="A122:A124"/>
    <mergeCell ref="B122:B124"/>
    <mergeCell ref="C122:C124"/>
    <mergeCell ref="D122:D124"/>
    <mergeCell ref="O122:O124"/>
    <mergeCell ref="Y122:Y124"/>
    <mergeCell ref="F123:F124"/>
    <mergeCell ref="A117:A119"/>
    <mergeCell ref="B117:B119"/>
    <mergeCell ref="C117:C119"/>
    <mergeCell ref="D117:D119"/>
    <mergeCell ref="O117:O119"/>
    <mergeCell ref="Y126:Y127"/>
    <mergeCell ref="A132:A135"/>
    <mergeCell ref="B132:B135"/>
    <mergeCell ref="C132:C135"/>
    <mergeCell ref="D132:D135"/>
    <mergeCell ref="O132:O135"/>
    <mergeCell ref="Y132:Y135"/>
    <mergeCell ref="F133:F135"/>
    <mergeCell ref="G133:G135"/>
    <mergeCell ref="H133:H135"/>
    <mergeCell ref="A126:A127"/>
    <mergeCell ref="B126:B127"/>
    <mergeCell ref="C126:C127"/>
    <mergeCell ref="D126:D127"/>
    <mergeCell ref="O126:O127"/>
    <mergeCell ref="Y147:Y149"/>
    <mergeCell ref="G148:G149"/>
    <mergeCell ref="H148:H149"/>
    <mergeCell ref="A147:A149"/>
    <mergeCell ref="B147:B149"/>
    <mergeCell ref="C147:C149"/>
    <mergeCell ref="D147:D149"/>
    <mergeCell ref="O147:O149"/>
    <mergeCell ref="Y136:Y137"/>
    <mergeCell ref="A142:A144"/>
    <mergeCell ref="B142:B144"/>
    <mergeCell ref="C142:C144"/>
    <mergeCell ref="D142:D144"/>
    <mergeCell ref="O142:O144"/>
    <mergeCell ref="Y142:Y144"/>
    <mergeCell ref="G143:G144"/>
    <mergeCell ref="H143:H144"/>
    <mergeCell ref="A136:A137"/>
    <mergeCell ref="B136:B137"/>
    <mergeCell ref="C136:C137"/>
    <mergeCell ref="D136:D137"/>
    <mergeCell ref="O136:O137"/>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47"/>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73</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273</v>
      </c>
      <c r="E5" s="2869" t="s">
        <v>2</v>
      </c>
      <c r="F5" s="2869" t="s">
        <v>274</v>
      </c>
      <c r="G5" s="2869" t="s">
        <v>106</v>
      </c>
      <c r="H5" s="2869" t="s">
        <v>107</v>
      </c>
      <c r="I5" s="2869" t="s">
        <v>8</v>
      </c>
      <c r="J5" s="2869" t="s">
        <v>9</v>
      </c>
      <c r="K5" s="2869" t="s">
        <v>10</v>
      </c>
      <c r="L5" s="3065" t="s">
        <v>11</v>
      </c>
      <c r="M5" s="3334" t="s">
        <v>100</v>
      </c>
      <c r="N5" s="2867" t="s">
        <v>12</v>
      </c>
      <c r="O5" s="2867" t="s">
        <v>86</v>
      </c>
      <c r="P5" s="2871" t="s">
        <v>1</v>
      </c>
      <c r="Q5" s="2867" t="s">
        <v>13</v>
      </c>
      <c r="R5" s="2867" t="s">
        <v>14</v>
      </c>
      <c r="S5" s="2867" t="s">
        <v>16</v>
      </c>
      <c r="T5" s="2867" t="s">
        <v>15</v>
      </c>
      <c r="U5" s="2867" t="s">
        <v>103</v>
      </c>
      <c r="V5" s="3332" t="s">
        <v>6</v>
      </c>
      <c r="W5" s="3332" t="s">
        <v>7</v>
      </c>
      <c r="X5" s="2867" t="s">
        <v>0</v>
      </c>
      <c r="Y5" s="2867" t="s">
        <v>90</v>
      </c>
    </row>
    <row r="6" spans="1:25" ht="42.75" customHeight="1">
      <c r="A6" s="2923"/>
      <c r="B6" s="2923"/>
      <c r="C6" s="2923"/>
      <c r="D6" s="2923"/>
      <c r="E6" s="2923"/>
      <c r="F6" s="2923"/>
      <c r="G6" s="2923"/>
      <c r="H6" s="2923"/>
      <c r="I6" s="2923"/>
      <c r="J6" s="2923"/>
      <c r="K6" s="2923"/>
      <c r="L6" s="3158"/>
      <c r="M6" s="3335"/>
      <c r="N6" s="2925"/>
      <c r="O6" s="2925"/>
      <c r="P6" s="2922"/>
      <c r="Q6" s="2925"/>
      <c r="R6" s="2925"/>
      <c r="S6" s="2925"/>
      <c r="T6" s="2925"/>
      <c r="U6" s="2925"/>
      <c r="V6" s="3333"/>
      <c r="W6" s="3333"/>
      <c r="X6" s="2925"/>
      <c r="Y6" s="2925"/>
    </row>
    <row r="7" spans="1:25" ht="15.6">
      <c r="A7" s="2437"/>
      <c r="B7" s="2438">
        <v>51</v>
      </c>
      <c r="C7" s="2438" t="s">
        <v>114</v>
      </c>
      <c r="D7" s="2439" t="s">
        <v>1351</v>
      </c>
      <c r="E7" s="2440"/>
      <c r="F7" s="2441"/>
      <c r="G7" s="2441"/>
      <c r="H7" s="2442"/>
      <c r="I7" s="2441"/>
      <c r="J7" s="2441"/>
      <c r="K7" s="1154"/>
      <c r="L7" s="2443"/>
      <c r="M7" s="2444"/>
      <c r="N7" s="2445"/>
      <c r="O7" s="2446"/>
      <c r="P7" s="2447"/>
      <c r="Q7" s="2448"/>
      <c r="R7" s="2449"/>
      <c r="S7" s="2449"/>
      <c r="T7" s="2450"/>
      <c r="U7" s="2451"/>
      <c r="V7" s="2452"/>
      <c r="W7" s="2452"/>
      <c r="X7" s="2453"/>
      <c r="Y7" s="2454"/>
    </row>
    <row r="8" spans="1:25" ht="15.6">
      <c r="A8" s="2455"/>
      <c r="B8" s="2456">
        <v>5101</v>
      </c>
      <c r="C8" s="2456" t="s">
        <v>115</v>
      </c>
      <c r="D8" s="2457" t="s">
        <v>1700</v>
      </c>
      <c r="E8" s="2458"/>
      <c r="F8" s="2459"/>
      <c r="G8" s="2459"/>
      <c r="H8" s="2455"/>
      <c r="I8" s="2459"/>
      <c r="J8" s="2459"/>
      <c r="K8" s="1164"/>
      <c r="L8" s="2460"/>
      <c r="M8" s="880"/>
      <c r="N8" s="1027"/>
      <c r="O8" s="2461"/>
      <c r="P8" s="2462"/>
      <c r="Q8" s="2463"/>
      <c r="R8" s="2464"/>
      <c r="S8" s="2464"/>
      <c r="T8" s="1249"/>
      <c r="U8" s="2465"/>
      <c r="V8" s="1175"/>
      <c r="W8" s="1175"/>
      <c r="X8" s="2466"/>
      <c r="Y8" s="2467"/>
    </row>
    <row r="9" spans="1:25" ht="14.4">
      <c r="A9" s="2468"/>
      <c r="B9" s="2469">
        <v>5101001</v>
      </c>
      <c r="C9" s="2469" t="s">
        <v>116</v>
      </c>
      <c r="D9" s="2470" t="s">
        <v>1701</v>
      </c>
      <c r="E9" s="2471"/>
      <c r="F9" s="2472"/>
      <c r="G9" s="2472"/>
      <c r="H9" s="2468"/>
      <c r="I9" s="2472"/>
      <c r="J9" s="2472"/>
      <c r="K9" s="1173"/>
      <c r="L9" s="2460"/>
      <c r="M9" s="880"/>
      <c r="N9" s="1027"/>
      <c r="O9" s="2473"/>
      <c r="P9" s="2462"/>
      <c r="Q9" s="2463"/>
      <c r="R9" s="2464"/>
      <c r="S9" s="2464"/>
      <c r="T9" s="2474"/>
      <c r="U9" s="2475"/>
      <c r="V9" s="1175"/>
      <c r="W9" s="1175"/>
      <c r="X9" s="2466"/>
      <c r="Y9" s="2467"/>
    </row>
    <row r="10" spans="1:25">
      <c r="A10" s="2476"/>
      <c r="B10" s="2477">
        <v>51010010007</v>
      </c>
      <c r="C10" s="2478" t="s">
        <v>117</v>
      </c>
      <c r="D10" s="2479" t="s">
        <v>5001</v>
      </c>
      <c r="E10" s="2467"/>
      <c r="F10" s="2480"/>
      <c r="G10" s="2481"/>
      <c r="H10" s="2482"/>
      <c r="I10" s="2481"/>
      <c r="J10" s="2481"/>
      <c r="K10" s="1192"/>
      <c r="L10" s="1210"/>
      <c r="M10" s="880"/>
      <c r="N10" s="1027"/>
      <c r="O10" s="2461"/>
      <c r="P10" s="2483"/>
      <c r="Q10" s="2484"/>
      <c r="R10" s="2485"/>
      <c r="S10" s="2485"/>
      <c r="T10" s="1027"/>
      <c r="U10" s="2486"/>
      <c r="V10" s="1749"/>
      <c r="W10" s="1749"/>
      <c r="X10" s="2466"/>
      <c r="Y10" s="2487"/>
    </row>
    <row r="11" spans="1:25" ht="13.8" customHeight="1">
      <c r="A11" s="3321">
        <v>4172</v>
      </c>
      <c r="B11" s="3323"/>
      <c r="C11" s="3325" t="s">
        <v>502</v>
      </c>
      <c r="D11" s="3327" t="s">
        <v>5002</v>
      </c>
      <c r="E11" s="2487" t="s">
        <v>5003</v>
      </c>
      <c r="F11" s="858"/>
      <c r="G11" s="2481"/>
      <c r="H11" s="2482"/>
      <c r="I11" s="2481"/>
      <c r="J11" s="2481"/>
      <c r="K11" s="1192">
        <f>SUM(K12)</f>
        <v>1</v>
      </c>
      <c r="L11" s="1210">
        <f>SUM(L12:L12)</f>
        <v>1</v>
      </c>
      <c r="M11" s="1963">
        <f>SUM(M12:M12)</f>
        <v>1</v>
      </c>
      <c r="N11" s="2489">
        <f>SUM(N12:N12)</f>
        <v>7.4999999999999997E-2</v>
      </c>
      <c r="O11" s="3331">
        <f>IF(Q12&gt;0,N12,"NA")</f>
        <v>7.4999999999999997E-2</v>
      </c>
      <c r="P11" s="2483">
        <f>SUM(P12:P12)</f>
        <v>603159100</v>
      </c>
      <c r="Q11" s="2483">
        <f>SUM(Q12:Q12)</f>
        <v>603159100</v>
      </c>
      <c r="R11" s="1109">
        <f>SUM(R12:R12)</f>
        <v>46829000</v>
      </c>
      <c r="S11" s="1109">
        <f>SUM(S12:S12)</f>
        <v>33402000</v>
      </c>
      <c r="T11" s="1060">
        <f>+IF(Q11=0,0,R11/Q11)</f>
        <v>7.7639548172281581E-2</v>
      </c>
      <c r="U11" s="2512">
        <f>+IF(R11=0,0,S11/R11)</f>
        <v>0.71327596147686267</v>
      </c>
      <c r="V11" s="2506"/>
      <c r="W11" s="2506"/>
      <c r="X11" s="2508"/>
      <c r="Y11" s="3296" t="s">
        <v>5005</v>
      </c>
    </row>
    <row r="12" spans="1:25" ht="145.19999999999999">
      <c r="A12" s="3322"/>
      <c r="B12" s="3324"/>
      <c r="C12" s="3326"/>
      <c r="D12" s="3328"/>
      <c r="E12" s="2487" t="s">
        <v>5006</v>
      </c>
      <c r="F12" s="2487"/>
      <c r="G12" s="2487" t="s">
        <v>5007</v>
      </c>
      <c r="H12" s="2507"/>
      <c r="I12" s="2487" t="s">
        <v>5068</v>
      </c>
      <c r="J12" s="2487" t="s">
        <v>5008</v>
      </c>
      <c r="K12" s="1192">
        <v>1</v>
      </c>
      <c r="L12" s="1209">
        <v>1</v>
      </c>
      <c r="M12" s="1963">
        <v>1</v>
      </c>
      <c r="N12" s="1220">
        <v>7.4999999999999997E-2</v>
      </c>
      <c r="O12" s="3331"/>
      <c r="P12" s="2483">
        <v>603159100</v>
      </c>
      <c r="Q12" s="2483">
        <v>603159100</v>
      </c>
      <c r="R12" s="1109">
        <v>46829000</v>
      </c>
      <c r="S12" s="1109">
        <v>33402000</v>
      </c>
      <c r="T12" s="1060">
        <f>+IF(Q12=0,0,R12/Q12)</f>
        <v>7.7639548172281581E-2</v>
      </c>
      <c r="U12" s="2512">
        <f>+IF(R12=0,0,S12/R12)</f>
        <v>0.71327596147686267</v>
      </c>
      <c r="V12" s="2506">
        <v>45306</v>
      </c>
      <c r="W12" s="2506">
        <v>45657</v>
      </c>
      <c r="X12" s="1530" t="s">
        <v>5004</v>
      </c>
      <c r="Y12" s="3297"/>
    </row>
    <row r="13" spans="1:25" ht="15.6">
      <c r="A13" s="2455"/>
      <c r="B13" s="2456">
        <v>5103</v>
      </c>
      <c r="C13" s="2491" t="s">
        <v>115</v>
      </c>
      <c r="D13" s="2457" t="s">
        <v>2858</v>
      </c>
      <c r="E13" s="2458"/>
      <c r="F13" s="2480"/>
      <c r="G13" s="2490"/>
      <c r="H13" s="2480"/>
      <c r="I13" s="2487"/>
      <c r="J13" s="2487"/>
      <c r="K13" s="1156"/>
      <c r="L13" s="1210"/>
      <c r="M13" s="880"/>
      <c r="N13" s="1027"/>
      <c r="O13" s="2492"/>
      <c r="P13" s="2483"/>
      <c r="Q13" s="2484"/>
      <c r="R13" s="2485"/>
      <c r="S13" s="2485"/>
      <c r="T13" s="1060"/>
      <c r="U13" s="2512"/>
      <c r="V13" s="1749"/>
      <c r="W13" s="1749"/>
      <c r="X13" s="2466"/>
      <c r="Y13" s="2487"/>
    </row>
    <row r="14" spans="1:25">
      <c r="A14" s="2468"/>
      <c r="B14" s="2469">
        <v>5103001</v>
      </c>
      <c r="C14" s="2493" t="s">
        <v>116</v>
      </c>
      <c r="D14" s="2470" t="s">
        <v>5009</v>
      </c>
      <c r="E14" s="2471"/>
      <c r="F14" s="2480"/>
      <c r="G14" s="2490"/>
      <c r="H14" s="2480"/>
      <c r="I14" s="2487"/>
      <c r="J14" s="2487"/>
      <c r="K14" s="1156"/>
      <c r="L14" s="1210"/>
      <c r="M14" s="880"/>
      <c r="N14" s="1027"/>
      <c r="O14" s="2492"/>
      <c r="P14" s="2481"/>
      <c r="Q14" s="2494"/>
      <c r="R14" s="2485"/>
      <c r="S14" s="2485"/>
      <c r="T14" s="1060"/>
      <c r="U14" s="2512"/>
      <c r="V14" s="1192"/>
      <c r="W14" s="1192"/>
      <c r="X14" s="2466"/>
      <c r="Y14" s="2487"/>
    </row>
    <row r="15" spans="1:25">
      <c r="A15" s="2495"/>
      <c r="B15" s="2477">
        <v>51030010009</v>
      </c>
      <c r="C15" s="2478" t="s">
        <v>117</v>
      </c>
      <c r="D15" s="2479" t="s">
        <v>5010</v>
      </c>
      <c r="E15" s="2467"/>
      <c r="F15" s="1105"/>
      <c r="G15" s="2481"/>
      <c r="H15" s="2488"/>
      <c r="I15" s="2487"/>
      <c r="J15" s="2488"/>
      <c r="K15" s="1192"/>
      <c r="L15" s="1234"/>
      <c r="M15" s="880"/>
      <c r="N15" s="1027"/>
      <c r="O15" s="2492"/>
      <c r="P15" s="2481"/>
      <c r="Q15" s="2494"/>
      <c r="R15" s="2485"/>
      <c r="S15" s="2485"/>
      <c r="T15" s="1060"/>
      <c r="U15" s="2512"/>
      <c r="V15" s="1192"/>
      <c r="W15" s="1192"/>
      <c r="X15" s="2466"/>
      <c r="Y15" s="2487"/>
    </row>
    <row r="16" spans="1:25">
      <c r="A16" s="3321">
        <v>4172</v>
      </c>
      <c r="B16" s="3325"/>
      <c r="C16" s="3325" t="s">
        <v>502</v>
      </c>
      <c r="D16" s="3320" t="s">
        <v>5011</v>
      </c>
      <c r="E16" s="2487" t="s">
        <v>5012</v>
      </c>
      <c r="F16" s="858"/>
      <c r="G16" s="2490"/>
      <c r="H16" s="2480"/>
      <c r="I16" s="2487"/>
      <c r="J16" s="2487"/>
      <c r="K16" s="1192">
        <f t="shared" ref="K16:L16" si="0">SUM(K17:K18)</f>
        <v>1</v>
      </c>
      <c r="L16" s="1234">
        <f t="shared" si="0"/>
        <v>1</v>
      </c>
      <c r="M16" s="1963">
        <f>SUM(M17:M18)</f>
        <v>0</v>
      </c>
      <c r="N16" s="1027">
        <f>SUM(N17:N18)</f>
        <v>0</v>
      </c>
      <c r="O16" s="3316">
        <f>IF(Q16&gt;0,N16,"NA")</f>
        <v>0</v>
      </c>
      <c r="P16" s="2483">
        <f>SUM(P17:P18)</f>
        <v>141958776</v>
      </c>
      <c r="Q16" s="2483">
        <f>SUM(Q17:Q18)</f>
        <v>141958776</v>
      </c>
      <c r="R16" s="1109">
        <f>SUM(R17:R18)</f>
        <v>0</v>
      </c>
      <c r="S16" s="1109">
        <f>SUM(S17:S18)</f>
        <v>0</v>
      </c>
      <c r="T16" s="1060">
        <f>+IF(Q16=0,0,R16/Q16)</f>
        <v>0</v>
      </c>
      <c r="U16" s="2512">
        <f t="shared" ref="T16:U18" si="1">+IF(R16=0,0,S16/R16)</f>
        <v>0</v>
      </c>
      <c r="V16" s="2509"/>
      <c r="W16" s="2509"/>
      <c r="X16" s="3318"/>
      <c r="Y16" s="3301" t="s">
        <v>74</v>
      </c>
    </row>
    <row r="17" spans="1:25" ht="26.4">
      <c r="A17" s="3330"/>
      <c r="B17" s="3329"/>
      <c r="C17" s="3329"/>
      <c r="D17" s="3312"/>
      <c r="E17" s="2487" t="s">
        <v>5013</v>
      </c>
      <c r="F17" s="2480"/>
      <c r="G17" s="3319" t="s">
        <v>5014</v>
      </c>
      <c r="H17" s="3301"/>
      <c r="I17" s="2487" t="s">
        <v>5015</v>
      </c>
      <c r="J17" s="2490" t="s">
        <v>5016</v>
      </c>
      <c r="K17" s="1218">
        <v>0</v>
      </c>
      <c r="L17" s="1234">
        <v>0</v>
      </c>
      <c r="M17" s="1963">
        <v>0</v>
      </c>
      <c r="N17" s="1027">
        <v>0</v>
      </c>
      <c r="O17" s="3316"/>
      <c r="P17" s="2483">
        <v>0</v>
      </c>
      <c r="Q17" s="2483">
        <v>0</v>
      </c>
      <c r="R17" s="1109">
        <v>0</v>
      </c>
      <c r="S17" s="1109">
        <v>0</v>
      </c>
      <c r="T17" s="1060">
        <f t="shared" si="1"/>
        <v>0</v>
      </c>
      <c r="U17" s="2512">
        <f t="shared" si="1"/>
        <v>0</v>
      </c>
      <c r="V17" s="1192"/>
      <c r="W17" s="1192"/>
      <c r="X17" s="3312"/>
      <c r="Y17" s="3312"/>
    </row>
    <row r="18" spans="1:25" ht="39.6">
      <c r="A18" s="3322"/>
      <c r="B18" s="3326"/>
      <c r="C18" s="3326"/>
      <c r="D18" s="3312"/>
      <c r="E18" s="2487" t="s">
        <v>5017</v>
      </c>
      <c r="F18" s="2482"/>
      <c r="G18" s="3312"/>
      <c r="H18" s="3312"/>
      <c r="I18" s="2487" t="s">
        <v>5018</v>
      </c>
      <c r="J18" s="2490" t="s">
        <v>5019</v>
      </c>
      <c r="K18" s="1192">
        <v>1</v>
      </c>
      <c r="L18" s="1234">
        <v>1</v>
      </c>
      <c r="M18" s="1963">
        <v>0</v>
      </c>
      <c r="N18" s="1027">
        <v>0</v>
      </c>
      <c r="O18" s="3316"/>
      <c r="P18" s="2483">
        <v>141958776</v>
      </c>
      <c r="Q18" s="2483">
        <v>141958776</v>
      </c>
      <c r="R18" s="1109">
        <v>0</v>
      </c>
      <c r="S18" s="1109">
        <v>0</v>
      </c>
      <c r="T18" s="1060">
        <f t="shared" si="1"/>
        <v>0</v>
      </c>
      <c r="U18" s="2512">
        <f t="shared" si="1"/>
        <v>0</v>
      </c>
      <c r="V18" s="1192"/>
      <c r="W18" s="1192"/>
      <c r="X18" s="3312"/>
      <c r="Y18" s="3312"/>
    </row>
    <row r="19" spans="1:25">
      <c r="A19" s="2495"/>
      <c r="B19" s="2477">
        <v>51030010010</v>
      </c>
      <c r="C19" s="2478" t="s">
        <v>117</v>
      </c>
      <c r="D19" s="2479" t="s">
        <v>5020</v>
      </c>
      <c r="E19" s="2467"/>
      <c r="F19" s="2488"/>
      <c r="G19" s="2481"/>
      <c r="H19" s="2488"/>
      <c r="I19" s="2487"/>
      <c r="J19" s="2481"/>
      <c r="K19" s="1192"/>
      <c r="L19" s="1210"/>
      <c r="M19" s="880"/>
      <c r="N19" s="1027"/>
      <c r="O19" s="2496"/>
      <c r="P19" s="2481"/>
      <c r="Q19" s="2494"/>
      <c r="R19" s="2485"/>
      <c r="S19" s="2485"/>
      <c r="T19" s="1060"/>
      <c r="U19" s="2512"/>
      <c r="V19" s="1192"/>
      <c r="W19" s="1192"/>
      <c r="X19" s="2466"/>
      <c r="Y19" s="2487"/>
    </row>
    <row r="20" spans="1:25" ht="13.8" customHeight="1">
      <c r="A20" s="3311">
        <v>4172</v>
      </c>
      <c r="B20" s="3313"/>
      <c r="C20" s="3314" t="s">
        <v>502</v>
      </c>
      <c r="D20" s="3315" t="s">
        <v>5021</v>
      </c>
      <c r="E20" s="2487" t="s">
        <v>5022</v>
      </c>
      <c r="F20" s="2488"/>
      <c r="G20" s="2481"/>
      <c r="H20" s="2488"/>
      <c r="I20" s="2487"/>
      <c r="J20" s="2481"/>
      <c r="K20" s="1192">
        <f t="shared" ref="K20:L20" si="2">SUM(K21)</f>
        <v>1</v>
      </c>
      <c r="L20" s="1234">
        <f t="shared" si="2"/>
        <v>1</v>
      </c>
      <c r="M20" s="880">
        <f t="shared" ref="M20" si="3">M21</f>
        <v>1</v>
      </c>
      <c r="N20" s="1027">
        <f>N21</f>
        <v>0.05</v>
      </c>
      <c r="O20" s="3316">
        <f>IF(Q21&gt;0,N21,"NA")</f>
        <v>0.05</v>
      </c>
      <c r="P20" s="2483">
        <f t="shared" ref="P20:Q20" si="4">SUM(P21)</f>
        <v>4392806950</v>
      </c>
      <c r="Q20" s="853">
        <f t="shared" si="4"/>
        <v>4392806950</v>
      </c>
      <c r="R20" s="1109">
        <f>R21</f>
        <v>485595000</v>
      </c>
      <c r="S20" s="1109">
        <f>S21</f>
        <v>267349000</v>
      </c>
      <c r="T20" s="1060">
        <f>+IF(Q20=0,0,R20/Q20)</f>
        <v>0.11054321428807611</v>
      </c>
      <c r="U20" s="2512">
        <f>+IF(R20=0,0,S20/R20)</f>
        <v>0.55055962273087655</v>
      </c>
      <c r="V20" s="2509"/>
      <c r="W20" s="2509"/>
      <c r="X20" s="2510"/>
      <c r="Y20" s="3301" t="s">
        <v>5005</v>
      </c>
    </row>
    <row r="21" spans="1:25" ht="277.2">
      <c r="A21" s="3312"/>
      <c r="B21" s="3312"/>
      <c r="C21" s="3314"/>
      <c r="D21" s="3315"/>
      <c r="E21" s="2487" t="s">
        <v>5024</v>
      </c>
      <c r="F21" s="2488"/>
      <c r="G21" s="2490" t="s">
        <v>5020</v>
      </c>
      <c r="H21" s="2488"/>
      <c r="I21" s="2487" t="s">
        <v>5025</v>
      </c>
      <c r="J21" s="2487" t="s">
        <v>170</v>
      </c>
      <c r="K21" s="1192">
        <v>1</v>
      </c>
      <c r="L21" s="1234">
        <v>1</v>
      </c>
      <c r="M21" s="880">
        <v>1</v>
      </c>
      <c r="N21" s="1085">
        <v>0.05</v>
      </c>
      <c r="O21" s="3317"/>
      <c r="P21" s="2483">
        <v>4392806950</v>
      </c>
      <c r="Q21" s="853">
        <v>4392806950</v>
      </c>
      <c r="R21" s="1109">
        <v>485595000</v>
      </c>
      <c r="S21" s="1109">
        <v>267349000</v>
      </c>
      <c r="T21" s="1060">
        <f>+IF(Q21=0,0,R21/Q21)</f>
        <v>0.11054321428807611</v>
      </c>
      <c r="U21" s="2512">
        <f t="shared" ref="U21" si="5">+IF(R21=0,0,S21/R21)</f>
        <v>0.55055962273087655</v>
      </c>
      <c r="V21" s="2509">
        <v>45306</v>
      </c>
      <c r="W21" s="2509">
        <v>45657</v>
      </c>
      <c r="X21" s="2511" t="s">
        <v>5023</v>
      </c>
      <c r="Y21" s="3301"/>
    </row>
    <row r="22" spans="1:25">
      <c r="A22" s="393"/>
      <c r="B22" s="462">
        <v>51030010011</v>
      </c>
      <c r="C22" s="462" t="s">
        <v>117</v>
      </c>
      <c r="D22" s="458" t="s">
        <v>5026</v>
      </c>
      <c r="E22" s="458"/>
      <c r="F22" s="393"/>
      <c r="G22" s="216"/>
      <c r="H22" s="393"/>
      <c r="I22" s="216"/>
      <c r="J22" s="214"/>
      <c r="K22" s="216"/>
      <c r="L22" s="2400"/>
      <c r="M22" s="549"/>
      <c r="N22" s="549"/>
      <c r="O22" s="589"/>
      <c r="P22" s="212"/>
      <c r="Q22" s="549"/>
      <c r="R22" s="549"/>
      <c r="S22" s="549"/>
      <c r="T22" s="562"/>
      <c r="U22" s="562"/>
      <c r="V22" s="549"/>
      <c r="W22" s="549"/>
      <c r="X22" s="216"/>
      <c r="Y22" s="216"/>
    </row>
    <row r="23" spans="1:25">
      <c r="A23" s="2878">
        <v>4172</v>
      </c>
      <c r="B23" s="3310"/>
      <c r="C23" s="2879" t="s">
        <v>123</v>
      </c>
      <c r="D23" s="2880" t="s">
        <v>5027</v>
      </c>
      <c r="E23" s="464" t="s">
        <v>5028</v>
      </c>
      <c r="F23" s="393"/>
      <c r="G23" s="216"/>
      <c r="H23" s="393"/>
      <c r="I23" s="216"/>
      <c r="J23" s="464"/>
      <c r="K23" s="216"/>
      <c r="L23" s="2401">
        <f>SUM(L24)</f>
        <v>1</v>
      </c>
      <c r="M23" s="803"/>
      <c r="N23" s="802">
        <f>N24</f>
        <v>0</v>
      </c>
      <c r="O23" s="3309">
        <f>IF(Q24&gt;0,N24,"NA")</f>
        <v>0</v>
      </c>
      <c r="P23" s="253">
        <f>P24</f>
        <v>451050000</v>
      </c>
      <c r="Q23" s="557">
        <f>Q24</f>
        <v>451050000</v>
      </c>
      <c r="R23" s="549">
        <f>R24</f>
        <v>0</v>
      </c>
      <c r="S23" s="549">
        <f>S24</f>
        <v>0</v>
      </c>
      <c r="T23" s="562">
        <f>+IF(Q23=0,0,R23/Q23)</f>
        <v>0</v>
      </c>
      <c r="U23" s="562">
        <f>+IF(R23=0,0,S23/R23)</f>
        <v>0</v>
      </c>
      <c r="V23" s="549"/>
      <c r="W23" s="549"/>
      <c r="X23" s="216"/>
      <c r="Y23" s="3296" t="s">
        <v>74</v>
      </c>
    </row>
    <row r="24" spans="1:25" ht="66">
      <c r="A24" s="2878"/>
      <c r="B24" s="3310"/>
      <c r="C24" s="2879"/>
      <c r="D24" s="2880"/>
      <c r="E24" s="464" t="s">
        <v>5029</v>
      </c>
      <c r="F24" s="393"/>
      <c r="G24" s="382" t="s">
        <v>5030</v>
      </c>
      <c r="H24" s="393"/>
      <c r="I24" s="464" t="s">
        <v>482</v>
      </c>
      <c r="J24" s="464" t="s">
        <v>170</v>
      </c>
      <c r="K24" s="465">
        <v>1</v>
      </c>
      <c r="L24" s="2401">
        <v>1</v>
      </c>
      <c r="M24" s="803">
        <v>0</v>
      </c>
      <c r="N24" s="243">
        <v>0</v>
      </c>
      <c r="O24" s="3309"/>
      <c r="P24" s="253">
        <v>451050000</v>
      </c>
      <c r="Q24" s="557">
        <v>451050000</v>
      </c>
      <c r="R24" s="549">
        <v>0</v>
      </c>
      <c r="S24" s="549">
        <v>0</v>
      </c>
      <c r="T24" s="562">
        <f>+IF(Q24=0,0,R24/Q24)</f>
        <v>0</v>
      </c>
      <c r="U24" s="562">
        <f t="shared" ref="U24:U43" si="6">+IF(R24=0,0,S24/R24)</f>
        <v>0</v>
      </c>
      <c r="V24" s="563"/>
      <c r="W24" s="563"/>
      <c r="X24" s="212"/>
      <c r="Y24" s="3297"/>
    </row>
    <row r="25" spans="1:25" ht="13.8" customHeight="1">
      <c r="A25" s="2878">
        <v>4172</v>
      </c>
      <c r="B25" s="3310"/>
      <c r="C25" s="2879" t="s">
        <v>123</v>
      </c>
      <c r="D25" s="2880" t="s">
        <v>5031</v>
      </c>
      <c r="E25" s="464" t="s">
        <v>5032</v>
      </c>
      <c r="F25" s="393"/>
      <c r="G25" s="216"/>
      <c r="H25" s="393"/>
      <c r="I25" s="216"/>
      <c r="J25" s="464"/>
      <c r="K25" s="216"/>
      <c r="L25" s="2401">
        <f>SUM(L26)</f>
        <v>1</v>
      </c>
      <c r="M25" s="803"/>
      <c r="N25" s="802">
        <f>N26</f>
        <v>0</v>
      </c>
      <c r="O25" s="3309">
        <f>IF(Q26&gt;0,N26,"NA")</f>
        <v>0</v>
      </c>
      <c r="P25" s="253">
        <f>P26</f>
        <v>94500000</v>
      </c>
      <c r="Q25" s="557">
        <f>Q26</f>
        <v>94500000</v>
      </c>
      <c r="R25" s="549">
        <f>R26</f>
        <v>0</v>
      </c>
      <c r="S25" s="549">
        <f>S26</f>
        <v>0</v>
      </c>
      <c r="T25" s="562">
        <f t="shared" ref="T25:T43" si="7">+IF(Q25=0,0,R25/Q25)</f>
        <v>0</v>
      </c>
      <c r="U25" s="562">
        <f t="shared" si="6"/>
        <v>0</v>
      </c>
      <c r="V25" s="549"/>
      <c r="W25" s="549"/>
      <c r="X25" s="549"/>
      <c r="Y25" s="3296" t="s">
        <v>74</v>
      </c>
    </row>
    <row r="26" spans="1:25" ht="66">
      <c r="A26" s="2878"/>
      <c r="B26" s="3310"/>
      <c r="C26" s="2879"/>
      <c r="D26" s="2880"/>
      <c r="E26" s="464" t="s">
        <v>5033</v>
      </c>
      <c r="F26" s="393"/>
      <c r="G26" s="382" t="s">
        <v>5030</v>
      </c>
      <c r="H26" s="393"/>
      <c r="I26" s="464" t="s">
        <v>482</v>
      </c>
      <c r="J26" s="464" t="s">
        <v>170</v>
      </c>
      <c r="K26" s="465">
        <v>1</v>
      </c>
      <c r="L26" s="2401">
        <v>1</v>
      </c>
      <c r="M26" s="803">
        <v>0</v>
      </c>
      <c r="N26" s="243">
        <v>0</v>
      </c>
      <c r="O26" s="3309"/>
      <c r="P26" s="253">
        <v>94500000</v>
      </c>
      <c r="Q26" s="557">
        <v>94500000</v>
      </c>
      <c r="R26" s="549">
        <v>0</v>
      </c>
      <c r="S26" s="549">
        <v>0</v>
      </c>
      <c r="T26" s="562">
        <f t="shared" si="7"/>
        <v>0</v>
      </c>
      <c r="U26" s="562">
        <f t="shared" si="6"/>
        <v>0</v>
      </c>
      <c r="V26" s="563"/>
      <c r="W26" s="563"/>
      <c r="X26" s="549"/>
      <c r="Y26" s="3297"/>
    </row>
    <row r="27" spans="1:25">
      <c r="A27" s="2878">
        <v>4172</v>
      </c>
      <c r="B27" s="3310"/>
      <c r="C27" s="2879" t="s">
        <v>123</v>
      </c>
      <c r="D27" s="2880" t="s">
        <v>5034</v>
      </c>
      <c r="E27" s="464" t="s">
        <v>5035</v>
      </c>
      <c r="F27" s="393"/>
      <c r="G27" s="382"/>
      <c r="H27" s="393"/>
      <c r="I27" s="464"/>
      <c r="J27" s="464"/>
      <c r="K27" s="465"/>
      <c r="L27" s="2401">
        <f>SUM(L28)</f>
        <v>1</v>
      </c>
      <c r="M27" s="803"/>
      <c r="N27" s="802">
        <f>N28</f>
        <v>0</v>
      </c>
      <c r="O27" s="3309">
        <f>IF(Q28&gt;0,N28,"NA")</f>
        <v>0</v>
      </c>
      <c r="P27" s="253">
        <f>P28</f>
        <v>136350000</v>
      </c>
      <c r="Q27" s="557">
        <f>Q28</f>
        <v>136350000</v>
      </c>
      <c r="R27" s="549">
        <f>R28</f>
        <v>0</v>
      </c>
      <c r="S27" s="549">
        <f>S28</f>
        <v>0</v>
      </c>
      <c r="T27" s="562">
        <f t="shared" si="7"/>
        <v>0</v>
      </c>
      <c r="U27" s="562">
        <f t="shared" si="6"/>
        <v>0</v>
      </c>
      <c r="V27" s="549"/>
      <c r="W27" s="549"/>
      <c r="X27" s="549"/>
      <c r="Y27" s="3296" t="s">
        <v>74</v>
      </c>
    </row>
    <row r="28" spans="1:25" ht="66">
      <c r="A28" s="2878"/>
      <c r="B28" s="3310"/>
      <c r="C28" s="2879"/>
      <c r="D28" s="2880"/>
      <c r="E28" s="464" t="s">
        <v>5036</v>
      </c>
      <c r="F28" s="393"/>
      <c r="G28" s="382" t="s">
        <v>5030</v>
      </c>
      <c r="H28" s="393"/>
      <c r="I28" s="464" t="s">
        <v>482</v>
      </c>
      <c r="J28" s="464" t="s">
        <v>170</v>
      </c>
      <c r="K28" s="465">
        <v>1</v>
      </c>
      <c r="L28" s="2401">
        <v>1</v>
      </c>
      <c r="M28" s="803">
        <v>0</v>
      </c>
      <c r="N28" s="243">
        <v>0</v>
      </c>
      <c r="O28" s="3309"/>
      <c r="P28" s="253">
        <v>136350000</v>
      </c>
      <c r="Q28" s="557">
        <v>136350000</v>
      </c>
      <c r="R28" s="549">
        <v>0</v>
      </c>
      <c r="S28" s="549">
        <v>0</v>
      </c>
      <c r="T28" s="562">
        <f t="shared" si="7"/>
        <v>0</v>
      </c>
      <c r="U28" s="562">
        <f t="shared" si="6"/>
        <v>0</v>
      </c>
      <c r="V28" s="563"/>
      <c r="W28" s="563"/>
      <c r="X28" s="549"/>
      <c r="Y28" s="3297"/>
    </row>
    <row r="29" spans="1:25">
      <c r="A29" s="375"/>
      <c r="B29" s="2402">
        <v>51030010012</v>
      </c>
      <c r="C29" s="462" t="s">
        <v>117</v>
      </c>
      <c r="D29" s="458" t="s">
        <v>5037</v>
      </c>
      <c r="E29" s="458"/>
      <c r="F29" s="393"/>
      <c r="G29" s="465"/>
      <c r="H29" s="1853"/>
      <c r="I29" s="464"/>
      <c r="J29" s="465"/>
      <c r="K29" s="465"/>
      <c r="L29" s="2400"/>
      <c r="M29" s="549"/>
      <c r="N29" s="549"/>
      <c r="O29" s="589"/>
      <c r="P29" s="212"/>
      <c r="Q29" s="549"/>
      <c r="R29" s="549"/>
      <c r="S29" s="549"/>
      <c r="T29" s="562"/>
      <c r="U29" s="562"/>
      <c r="V29" s="549"/>
      <c r="W29" s="549"/>
      <c r="X29" s="216"/>
      <c r="Y29" s="216"/>
    </row>
    <row r="30" spans="1:25" ht="14.4" customHeight="1">
      <c r="A30" s="2878">
        <v>4172</v>
      </c>
      <c r="B30" s="3308"/>
      <c r="C30" s="2879" t="s">
        <v>123</v>
      </c>
      <c r="D30" s="2880" t="s">
        <v>5038</v>
      </c>
      <c r="E30" s="464" t="s">
        <v>5039</v>
      </c>
      <c r="F30" s="393"/>
      <c r="G30" s="465"/>
      <c r="H30" s="393"/>
      <c r="I30" s="464"/>
      <c r="J30" s="465"/>
      <c r="K30" s="465">
        <f>+K31</f>
        <v>3</v>
      </c>
      <c r="L30" s="2401">
        <f>SUM(L31)</f>
        <v>1</v>
      </c>
      <c r="M30" s="803">
        <f>M31</f>
        <v>1</v>
      </c>
      <c r="N30" s="2403">
        <f>N31</f>
        <v>7.4999999999999997E-2</v>
      </c>
      <c r="O30" s="3306">
        <f>IF(Q31&gt;0,N31,"NA")</f>
        <v>7.4999999999999997E-2</v>
      </c>
      <c r="P30" s="557">
        <f>P31</f>
        <v>1168502824</v>
      </c>
      <c r="Q30" s="557">
        <f>Q31</f>
        <v>1168502824</v>
      </c>
      <c r="R30" s="557">
        <f>R31</f>
        <v>88016000</v>
      </c>
      <c r="S30" s="557">
        <f>S31</f>
        <v>30964000</v>
      </c>
      <c r="T30" s="562">
        <f t="shared" si="7"/>
        <v>7.5323737514561631E-2</v>
      </c>
      <c r="U30" s="562">
        <f t="shared" si="6"/>
        <v>0.35179967278676605</v>
      </c>
      <c r="V30" s="549"/>
      <c r="W30" s="549"/>
      <c r="X30" s="216"/>
      <c r="Y30" s="3296" t="s">
        <v>74</v>
      </c>
    </row>
    <row r="31" spans="1:25" ht="145.19999999999999">
      <c r="A31" s="2878"/>
      <c r="B31" s="3308"/>
      <c r="C31" s="2879"/>
      <c r="D31" s="2880"/>
      <c r="E31" s="464" t="s">
        <v>5040</v>
      </c>
      <c r="F31" s="393"/>
      <c r="G31" s="464" t="s">
        <v>5037</v>
      </c>
      <c r="H31" s="393"/>
      <c r="I31" s="464" t="s">
        <v>5041</v>
      </c>
      <c r="J31" s="464" t="s">
        <v>5042</v>
      </c>
      <c r="K31" s="383">
        <v>3</v>
      </c>
      <c r="L31" s="2401">
        <v>1</v>
      </c>
      <c r="M31" s="803">
        <v>1</v>
      </c>
      <c r="N31" s="562">
        <v>7.4999999999999997E-2</v>
      </c>
      <c r="O31" s="3306"/>
      <c r="P31" s="253">
        <v>1168502824</v>
      </c>
      <c r="Q31" s="557">
        <v>1168502824</v>
      </c>
      <c r="R31" s="557">
        <v>88016000</v>
      </c>
      <c r="S31" s="557">
        <v>30964000</v>
      </c>
      <c r="T31" s="562">
        <f>+IF(Q31=0,0,R31/Q31)</f>
        <v>7.5323737514561631E-2</v>
      </c>
      <c r="U31" s="562">
        <f>+IF(R31=0,0,S31/R31)</f>
        <v>0.35179967278676605</v>
      </c>
      <c r="V31" s="2404">
        <v>45306</v>
      </c>
      <c r="W31" s="2404">
        <v>45657</v>
      </c>
      <c r="X31" s="2497" t="s">
        <v>5043</v>
      </c>
      <c r="Y31" s="3297"/>
    </row>
    <row r="32" spans="1:25">
      <c r="A32" s="393"/>
      <c r="B32" s="2402">
        <v>51030010016</v>
      </c>
      <c r="C32" s="393" t="s">
        <v>117</v>
      </c>
      <c r="D32" s="458" t="s">
        <v>5044</v>
      </c>
      <c r="E32" s="464"/>
      <c r="F32" s="393"/>
      <c r="G32" s="382"/>
      <c r="H32" s="393"/>
      <c r="I32" s="464"/>
      <c r="J32" s="464"/>
      <c r="K32" s="465"/>
      <c r="L32" s="2400"/>
      <c r="M32" s="549"/>
      <c r="N32" s="589"/>
      <c r="O32" s="589"/>
      <c r="P32" s="253"/>
      <c r="Q32" s="557"/>
      <c r="R32" s="557"/>
      <c r="S32" s="557"/>
      <c r="T32" s="562"/>
      <c r="U32" s="562"/>
      <c r="V32" s="549"/>
      <c r="W32" s="549"/>
      <c r="X32" s="216"/>
      <c r="Y32" s="216"/>
    </row>
    <row r="33" spans="1:25" ht="14.4" customHeight="1">
      <c r="A33" s="2878">
        <v>4172</v>
      </c>
      <c r="B33" s="3308"/>
      <c r="C33" s="2878" t="s">
        <v>123</v>
      </c>
      <c r="D33" s="2880" t="s">
        <v>5045</v>
      </c>
      <c r="E33" s="464" t="s">
        <v>5046</v>
      </c>
      <c r="F33" s="393"/>
      <c r="G33" s="382"/>
      <c r="H33" s="393"/>
      <c r="I33" s="464"/>
      <c r="J33" s="464"/>
      <c r="K33" s="465">
        <f>+K34</f>
        <v>4</v>
      </c>
      <c r="L33" s="2401">
        <f>SUM(L34)</f>
        <v>1</v>
      </c>
      <c r="M33" s="803"/>
      <c r="N33" s="2403">
        <f>N34</f>
        <v>0.24249999999999999</v>
      </c>
      <c r="O33" s="3309">
        <f>IF(Q34&gt;0,N34,"NA")</f>
        <v>0.24249999999999999</v>
      </c>
      <c r="P33" s="253">
        <f>P34</f>
        <v>3954148450</v>
      </c>
      <c r="Q33" s="557">
        <f>Q34</f>
        <v>3954148450</v>
      </c>
      <c r="R33" s="557">
        <f>R34</f>
        <v>588206000</v>
      </c>
      <c r="S33" s="557">
        <f>S34</f>
        <v>144694000</v>
      </c>
      <c r="T33" s="562">
        <f t="shared" si="7"/>
        <v>0.14875668110032642</v>
      </c>
      <c r="U33" s="562">
        <f t="shared" si="6"/>
        <v>0.24599205040411012</v>
      </c>
      <c r="V33" s="549"/>
      <c r="W33" s="549"/>
      <c r="X33" s="216"/>
      <c r="Y33" s="3296" t="s">
        <v>74</v>
      </c>
    </row>
    <row r="34" spans="1:25" ht="369.6">
      <c r="A34" s="2878"/>
      <c r="B34" s="3308"/>
      <c r="C34" s="2878"/>
      <c r="D34" s="2880"/>
      <c r="E34" s="464" t="s">
        <v>5047</v>
      </c>
      <c r="F34" s="393"/>
      <c r="G34" s="464" t="s">
        <v>5044</v>
      </c>
      <c r="H34" s="393"/>
      <c r="I34" s="464" t="s">
        <v>5048</v>
      </c>
      <c r="J34" s="464" t="s">
        <v>5049</v>
      </c>
      <c r="K34" s="465">
        <v>4</v>
      </c>
      <c r="L34" s="2401">
        <v>1</v>
      </c>
      <c r="M34" s="803">
        <v>1</v>
      </c>
      <c r="N34" s="589">
        <v>0.24249999999999999</v>
      </c>
      <c r="O34" s="3309"/>
      <c r="P34" s="253">
        <v>3954148450</v>
      </c>
      <c r="Q34" s="557">
        <v>3954148450</v>
      </c>
      <c r="R34" s="557">
        <v>588206000</v>
      </c>
      <c r="S34" s="557">
        <v>144694000</v>
      </c>
      <c r="T34" s="562">
        <f>+IF(Q34=0,0,R34/Q34)</f>
        <v>0.14875668110032642</v>
      </c>
      <c r="U34" s="562">
        <f>+IF(R34=0,0,S34/R34)</f>
        <v>0.24599205040411012</v>
      </c>
      <c r="V34" s="2404">
        <v>45306</v>
      </c>
      <c r="W34" s="2404">
        <v>45657</v>
      </c>
      <c r="X34" s="212" t="s">
        <v>5050</v>
      </c>
      <c r="Y34" s="3297"/>
    </row>
    <row r="35" spans="1:25">
      <c r="A35" s="375"/>
      <c r="B35" s="375">
        <v>51030010024</v>
      </c>
      <c r="C35" s="375" t="s">
        <v>117</v>
      </c>
      <c r="D35" s="458" t="s">
        <v>5051</v>
      </c>
      <c r="E35" s="458"/>
      <c r="F35" s="393"/>
      <c r="G35" s="382"/>
      <c r="H35" s="393"/>
      <c r="I35" s="382"/>
      <c r="J35" s="382"/>
      <c r="K35" s="467"/>
      <c r="L35" s="2400"/>
      <c r="M35" s="549"/>
      <c r="N35" s="589"/>
      <c r="O35" s="589"/>
      <c r="P35" s="253"/>
      <c r="Q35" s="557"/>
      <c r="R35" s="557"/>
      <c r="S35" s="557"/>
      <c r="T35" s="562"/>
      <c r="U35" s="562"/>
      <c r="V35" s="549"/>
      <c r="W35" s="549"/>
      <c r="X35" s="216"/>
      <c r="Y35" s="216"/>
    </row>
    <row r="36" spans="1:25">
      <c r="A36" s="2878">
        <v>4172</v>
      </c>
      <c r="B36" s="3302"/>
      <c r="C36" s="2878" t="s">
        <v>123</v>
      </c>
      <c r="D36" s="2880" t="s">
        <v>5052</v>
      </c>
      <c r="E36" s="464" t="s">
        <v>5053</v>
      </c>
      <c r="F36" s="393"/>
      <c r="G36" s="382"/>
      <c r="H36" s="393"/>
      <c r="I36" s="382"/>
      <c r="J36" s="382"/>
      <c r="K36" s="383">
        <f>SUM(K37:K38)</f>
        <v>78</v>
      </c>
      <c r="L36" s="2401">
        <f>SUM(L37:L38)</f>
        <v>1</v>
      </c>
      <c r="M36" s="803"/>
      <c r="N36" s="2405">
        <f>SUM(N37:N38)</f>
        <v>2.5000000000000001E-2</v>
      </c>
      <c r="O36" s="2942">
        <f>IF(Q36&gt;0,N36,"NA")</f>
        <v>2.5000000000000001E-2</v>
      </c>
      <c r="P36" s="253">
        <f>P37+P38</f>
        <v>612165500</v>
      </c>
      <c r="Q36" s="557">
        <f>Q37+Q38</f>
        <v>612165500</v>
      </c>
      <c r="R36" s="557">
        <f>SUM(R37:R38)</f>
        <v>52541000</v>
      </c>
      <c r="S36" s="557">
        <f>SUM(S37:S38)</f>
        <v>14900000</v>
      </c>
      <c r="T36" s="562">
        <f t="shared" si="7"/>
        <v>8.5828097140397491E-2</v>
      </c>
      <c r="U36" s="562">
        <f t="shared" si="6"/>
        <v>0.28358805504272855</v>
      </c>
      <c r="V36" s="549"/>
      <c r="W36" s="549"/>
      <c r="X36" s="216"/>
      <c r="Y36" s="3296" t="s">
        <v>5057</v>
      </c>
    </row>
    <row r="37" spans="1:25" ht="52.8">
      <c r="A37" s="2878"/>
      <c r="B37" s="3302"/>
      <c r="C37" s="2878"/>
      <c r="D37" s="2880"/>
      <c r="E37" s="464" t="s">
        <v>5054</v>
      </c>
      <c r="F37" s="393"/>
      <c r="G37" s="3240" t="s">
        <v>5051</v>
      </c>
      <c r="H37" s="2878"/>
      <c r="I37" s="382" t="s">
        <v>5055</v>
      </c>
      <c r="J37" s="382" t="s">
        <v>2902</v>
      </c>
      <c r="K37" s="467">
        <v>18</v>
      </c>
      <c r="L37" s="2401">
        <v>0.5</v>
      </c>
      <c r="M37" s="803">
        <v>0</v>
      </c>
      <c r="N37" s="562">
        <v>0</v>
      </c>
      <c r="O37" s="2942"/>
      <c r="P37" s="253">
        <v>145297500</v>
      </c>
      <c r="Q37" s="253">
        <v>145297500</v>
      </c>
      <c r="R37" s="557">
        <v>0</v>
      </c>
      <c r="S37" s="557">
        <v>0</v>
      </c>
      <c r="T37" s="562">
        <f t="shared" si="7"/>
        <v>0</v>
      </c>
      <c r="U37" s="562">
        <f t="shared" si="6"/>
        <v>0</v>
      </c>
      <c r="V37" s="2404"/>
      <c r="W37" s="2404"/>
      <c r="X37" s="3033" t="s">
        <v>5056</v>
      </c>
      <c r="Y37" s="3298"/>
    </row>
    <row r="38" spans="1:25" ht="39.6">
      <c r="A38" s="393"/>
      <c r="B38" s="3302"/>
      <c r="C38" s="2878"/>
      <c r="D38" s="2880"/>
      <c r="E38" s="464" t="s">
        <v>5058</v>
      </c>
      <c r="F38" s="393"/>
      <c r="G38" s="3240"/>
      <c r="H38" s="2878"/>
      <c r="I38" s="382" t="s">
        <v>5059</v>
      </c>
      <c r="J38" s="382" t="s">
        <v>120</v>
      </c>
      <c r="K38" s="467">
        <v>60</v>
      </c>
      <c r="L38" s="2401">
        <v>0.5</v>
      </c>
      <c r="M38" s="803">
        <v>0</v>
      </c>
      <c r="N38" s="562">
        <v>2.5000000000000001E-2</v>
      </c>
      <c r="O38" s="2942"/>
      <c r="P38" s="253">
        <v>466868000</v>
      </c>
      <c r="Q38" s="253">
        <v>466868000</v>
      </c>
      <c r="R38" s="557">
        <v>52541000</v>
      </c>
      <c r="S38" s="557">
        <v>14900000</v>
      </c>
      <c r="T38" s="562">
        <f>+IF(Q38=0,0,R38/Q38)</f>
        <v>0.11253930447149944</v>
      </c>
      <c r="U38" s="562">
        <f t="shared" si="6"/>
        <v>0.28358805504272855</v>
      </c>
      <c r="V38" s="2404">
        <v>45306</v>
      </c>
      <c r="W38" s="2404">
        <v>45657</v>
      </c>
      <c r="X38" s="3035"/>
      <c r="Y38" s="3297"/>
    </row>
    <row r="39" spans="1:25" ht="15.6">
      <c r="A39" s="488"/>
      <c r="B39" s="2406">
        <v>54</v>
      </c>
      <c r="C39" s="2406" t="s">
        <v>114</v>
      </c>
      <c r="D39" s="2407" t="s">
        <v>201</v>
      </c>
      <c r="E39" s="2408"/>
      <c r="F39" s="393"/>
      <c r="G39" s="465"/>
      <c r="H39" s="1853"/>
      <c r="I39" s="465"/>
      <c r="J39" s="393"/>
      <c r="K39" s="465"/>
      <c r="L39" s="239"/>
      <c r="M39" s="549"/>
      <c r="N39" s="589"/>
      <c r="O39" s="589"/>
      <c r="P39" s="212"/>
      <c r="Q39" s="549"/>
      <c r="R39" s="549"/>
      <c r="S39" s="549"/>
      <c r="T39" s="562"/>
      <c r="U39" s="562"/>
      <c r="V39" s="549"/>
      <c r="W39" s="549"/>
      <c r="X39" s="216"/>
      <c r="Y39" s="216"/>
    </row>
    <row r="40" spans="1:25" ht="15.6">
      <c r="A40" s="488"/>
      <c r="B40" s="488">
        <v>5402</v>
      </c>
      <c r="C40" s="488" t="s">
        <v>115</v>
      </c>
      <c r="D40" s="2409" t="s">
        <v>118</v>
      </c>
      <c r="E40" s="2408"/>
      <c r="F40" s="393"/>
      <c r="G40" s="465"/>
      <c r="H40" s="1853"/>
      <c r="I40" s="465"/>
      <c r="J40" s="393"/>
      <c r="K40" s="465"/>
      <c r="L40" s="239"/>
      <c r="M40" s="549"/>
      <c r="N40" s="589"/>
      <c r="O40" s="589"/>
      <c r="P40" s="212"/>
      <c r="Q40" s="549"/>
      <c r="R40" s="549"/>
      <c r="S40" s="549"/>
      <c r="T40" s="562"/>
      <c r="U40" s="562"/>
      <c r="V40" s="549"/>
      <c r="W40" s="549"/>
      <c r="X40" s="216"/>
      <c r="Y40" s="216"/>
    </row>
    <row r="41" spans="1:25" ht="27.6">
      <c r="A41" s="491"/>
      <c r="B41" s="491">
        <v>5402002</v>
      </c>
      <c r="C41" s="491" t="s">
        <v>116</v>
      </c>
      <c r="D41" s="2410" t="s">
        <v>590</v>
      </c>
      <c r="E41" s="2411"/>
      <c r="F41" s="393"/>
      <c r="G41" s="465"/>
      <c r="H41" s="1853"/>
      <c r="I41" s="465"/>
      <c r="J41" s="393"/>
      <c r="K41" s="465"/>
      <c r="L41" s="239"/>
      <c r="M41" s="549"/>
      <c r="N41" s="589"/>
      <c r="O41" s="589"/>
      <c r="P41" s="212"/>
      <c r="Q41" s="549"/>
      <c r="R41" s="549"/>
      <c r="S41" s="549"/>
      <c r="T41" s="562"/>
      <c r="U41" s="562"/>
      <c r="V41" s="549"/>
      <c r="W41" s="549"/>
      <c r="X41" s="216"/>
      <c r="Y41" s="216"/>
    </row>
    <row r="42" spans="1:25">
      <c r="A42" s="393"/>
      <c r="B42" s="375">
        <v>54020020012</v>
      </c>
      <c r="C42" s="375" t="s">
        <v>117</v>
      </c>
      <c r="D42" s="2412" t="s">
        <v>5060</v>
      </c>
      <c r="E42" s="458"/>
      <c r="F42" s="393"/>
      <c r="G42" s="382"/>
      <c r="H42" s="2413"/>
      <c r="I42" s="382"/>
      <c r="J42" s="382"/>
      <c r="K42" s="465"/>
      <c r="L42" s="239"/>
      <c r="M42" s="549"/>
      <c r="N42" s="589"/>
      <c r="O42" s="589"/>
      <c r="P42" s="212"/>
      <c r="Q42" s="549"/>
      <c r="R42" s="549"/>
      <c r="S42" s="549"/>
      <c r="T42" s="562"/>
      <c r="U42" s="562"/>
      <c r="V42" s="549"/>
      <c r="W42" s="549"/>
      <c r="X42" s="216"/>
      <c r="Y42" s="216"/>
    </row>
    <row r="43" spans="1:25" ht="14.4" customHeight="1">
      <c r="A43" s="2878">
        <v>4172</v>
      </c>
      <c r="B43" s="3302"/>
      <c r="C43" s="2878" t="s">
        <v>123</v>
      </c>
      <c r="D43" s="3304" t="s">
        <v>5061</v>
      </c>
      <c r="E43" s="464" t="s">
        <v>5062</v>
      </c>
      <c r="F43" s="393"/>
      <c r="G43" s="382"/>
      <c r="H43" s="393"/>
      <c r="I43" s="382"/>
      <c r="J43" s="382"/>
      <c r="K43" s="383">
        <f>SUM(K44)</f>
        <v>1</v>
      </c>
      <c r="L43" s="2414">
        <f>SUM(L44)</f>
        <v>1</v>
      </c>
      <c r="M43" s="803"/>
      <c r="N43" s="2405">
        <f>N44</f>
        <v>7.4999999999999997E-2</v>
      </c>
      <c r="O43" s="3306">
        <f>IF(Q44&gt;0,N44,"NA")</f>
        <v>7.4999999999999997E-2</v>
      </c>
      <c r="P43" s="253">
        <f>P44</f>
        <v>1127258400</v>
      </c>
      <c r="Q43" s="557">
        <f>Q44</f>
        <v>1127258400</v>
      </c>
      <c r="R43" s="557">
        <f>R44</f>
        <v>289083000</v>
      </c>
      <c r="S43" s="557">
        <f>S44</f>
        <v>160181000</v>
      </c>
      <c r="T43" s="562">
        <f t="shared" si="7"/>
        <v>0.25644785614372001</v>
      </c>
      <c r="U43" s="562">
        <f t="shared" si="6"/>
        <v>0.55410037947579072</v>
      </c>
      <c r="V43" s="549"/>
      <c r="W43" s="549"/>
      <c r="X43" s="216"/>
      <c r="Y43" s="3299" t="s">
        <v>74</v>
      </c>
    </row>
    <row r="44" spans="1:25" ht="105.6">
      <c r="A44" s="2890"/>
      <c r="B44" s="3303"/>
      <c r="C44" s="2890"/>
      <c r="D44" s="3305"/>
      <c r="E44" s="2498" t="s">
        <v>5063</v>
      </c>
      <c r="F44" s="2498"/>
      <c r="G44" s="2498" t="s">
        <v>5060</v>
      </c>
      <c r="H44" s="2499"/>
      <c r="I44" s="2498" t="s">
        <v>5064</v>
      </c>
      <c r="J44" s="2498" t="s">
        <v>5065</v>
      </c>
      <c r="K44" s="2500">
        <v>1</v>
      </c>
      <c r="L44" s="2501">
        <v>1</v>
      </c>
      <c r="M44" s="2502">
        <v>1</v>
      </c>
      <c r="N44" s="2503">
        <v>7.4999999999999997E-2</v>
      </c>
      <c r="O44" s="3307"/>
      <c r="P44" s="256">
        <v>1127258400</v>
      </c>
      <c r="Q44" s="256">
        <v>1127258400</v>
      </c>
      <c r="R44" s="617">
        <v>289083000</v>
      </c>
      <c r="S44" s="617">
        <v>160181000</v>
      </c>
      <c r="T44" s="2503">
        <f>+IF(Q44=0,0,R44/Q44)</f>
        <v>0.25644785614372001</v>
      </c>
      <c r="U44" s="2503">
        <f>+IF(R44=0,0,S44/R44)</f>
        <v>0.55410037947579072</v>
      </c>
      <c r="V44" s="2504">
        <v>45306</v>
      </c>
      <c r="W44" s="2505">
        <v>45657</v>
      </c>
      <c r="X44" s="605" t="s">
        <v>5066</v>
      </c>
      <c r="Y44" s="3300"/>
    </row>
    <row r="45" spans="1:25">
      <c r="A45" s="2417"/>
      <c r="B45" s="2419"/>
      <c r="C45" s="2417"/>
      <c r="D45" s="2419"/>
      <c r="E45" s="2419"/>
      <c r="F45" s="2419"/>
      <c r="G45" s="2419"/>
      <c r="H45" s="2417"/>
      <c r="I45" s="2419"/>
      <c r="J45" s="2417"/>
      <c r="K45" s="2424"/>
      <c r="L45" s="2425"/>
      <c r="M45" s="2426"/>
      <c r="N45" s="1908"/>
      <c r="O45" s="2427"/>
      <c r="P45" s="2420"/>
      <c r="Q45" s="2422"/>
      <c r="R45" s="2428"/>
      <c r="S45" s="2428"/>
      <c r="T45" s="2431"/>
      <c r="U45" s="2432"/>
      <c r="V45" s="2429"/>
      <c r="W45" s="2421"/>
      <c r="X45" s="2430"/>
      <c r="Y45" s="2418"/>
    </row>
    <row r="46" spans="1:25" s="46" customFormat="1">
      <c r="A46" s="2423"/>
      <c r="B46" s="2433" t="s">
        <v>50</v>
      </c>
      <c r="C46" s="2423">
        <f>COUNTIF(C7:C44,"Pr")</f>
        <v>10</v>
      </c>
      <c r="D46" s="2433"/>
      <c r="E46" s="2433" t="s">
        <v>126</v>
      </c>
      <c r="F46" s="2433"/>
      <c r="G46" s="2423">
        <f>COUNTIF(O11:O44,"na")</f>
        <v>0</v>
      </c>
      <c r="H46" s="2423"/>
      <c r="I46" s="2433"/>
      <c r="J46" s="2423"/>
      <c r="K46" s="1266"/>
      <c r="L46" s="2434"/>
      <c r="M46" s="2513"/>
      <c r="N46" s="2514" t="s">
        <v>561</v>
      </c>
      <c r="O46" s="123">
        <f>+AVERAGE(O11:O44)</f>
        <v>5.425E-2</v>
      </c>
      <c r="P46" s="2435">
        <f>P11+P16+P20+P23+P25+P27+P30+P33+P36+P43</f>
        <v>12681900000</v>
      </c>
      <c r="Q46" s="2435">
        <f t="shared" ref="Q46:S46" si="8">Q11+Q16+Q20+Q23+Q25+Q27+Q30+Q33+Q36+Q43</f>
        <v>12681900000</v>
      </c>
      <c r="R46" s="2435">
        <f t="shared" si="8"/>
        <v>1550270000</v>
      </c>
      <c r="S46" s="2435">
        <f t="shared" si="8"/>
        <v>651490000</v>
      </c>
      <c r="T46" s="2515">
        <f>+IF(Q46=0,0,R46/Q46)</f>
        <v>0.12224272388206814</v>
      </c>
      <c r="U46" s="2416">
        <f>+IF(R46=0,0,S46/R46)</f>
        <v>0.42024292542589353</v>
      </c>
      <c r="V46" s="2436"/>
      <c r="W46" s="1267"/>
      <c r="X46" s="2516"/>
      <c r="Y46" s="2415"/>
    </row>
    <row r="47" spans="1:25" s="46" customFormat="1">
      <c r="A47" s="2423"/>
      <c r="B47" s="2433"/>
      <c r="C47" s="2423"/>
      <c r="D47" s="2433"/>
      <c r="E47" s="2433"/>
      <c r="F47" s="2433"/>
      <c r="G47" s="2433"/>
      <c r="H47" s="2423"/>
      <c r="I47" s="2433"/>
      <c r="J47" s="2423"/>
      <c r="K47" s="1266"/>
      <c r="L47" s="2434"/>
      <c r="M47" s="2513" t="s">
        <v>5067</v>
      </c>
      <c r="N47" s="2513"/>
      <c r="O47" s="53">
        <f>COUNTIF(O11:O44,"=0%")</f>
        <v>4</v>
      </c>
      <c r="P47" s="2435">
        <v>12681900000</v>
      </c>
      <c r="Q47" s="2435">
        <v>12681900000</v>
      </c>
      <c r="R47" s="2435">
        <v>1550270000</v>
      </c>
      <c r="S47" s="2435">
        <v>651490000</v>
      </c>
      <c r="T47" s="2517"/>
      <c r="U47" s="2433"/>
      <c r="V47" s="2436"/>
      <c r="W47" s="1267"/>
      <c r="X47" s="2516"/>
      <c r="Y47" s="2415"/>
    </row>
  </sheetData>
  <mergeCells count="98">
    <mergeCell ref="A5:A6"/>
    <mergeCell ref="G5:G6"/>
    <mergeCell ref="H5:H6"/>
    <mergeCell ref="M5:M6"/>
    <mergeCell ref="E5:E6"/>
    <mergeCell ref="D5:D6"/>
    <mergeCell ref="A1:X1"/>
    <mergeCell ref="J5:J6"/>
    <mergeCell ref="I5:I6"/>
    <mergeCell ref="N5:N6"/>
    <mergeCell ref="O5:O6"/>
    <mergeCell ref="A4:Y4"/>
    <mergeCell ref="X5:X6"/>
    <mergeCell ref="K5:K6"/>
    <mergeCell ref="A3:B3"/>
    <mergeCell ref="U5:U6"/>
    <mergeCell ref="A2:Y2"/>
    <mergeCell ref="V3:W3"/>
    <mergeCell ref="L5:L6"/>
    <mergeCell ref="B5:B6"/>
    <mergeCell ref="C5:C6"/>
    <mergeCell ref="C3:R3"/>
    <mergeCell ref="Y5:Y6"/>
    <mergeCell ref="S5:S6"/>
    <mergeCell ref="W5:W6"/>
    <mergeCell ref="Q5:Q6"/>
    <mergeCell ref="T5:T6"/>
    <mergeCell ref="V5:V6"/>
    <mergeCell ref="O11:O12"/>
    <mergeCell ref="S3:U3"/>
    <mergeCell ref="F5:F6"/>
    <mergeCell ref="R5:R6"/>
    <mergeCell ref="P5:P6"/>
    <mergeCell ref="A11:A12"/>
    <mergeCell ref="B11:B12"/>
    <mergeCell ref="C11:C12"/>
    <mergeCell ref="D11:D12"/>
    <mergeCell ref="C16:C18"/>
    <mergeCell ref="B16:B18"/>
    <mergeCell ref="A16:A18"/>
    <mergeCell ref="X16:X18"/>
    <mergeCell ref="Y16:Y18"/>
    <mergeCell ref="G17:G18"/>
    <mergeCell ref="H17:H18"/>
    <mergeCell ref="D16:D18"/>
    <mergeCell ref="O16:O18"/>
    <mergeCell ref="A20:A21"/>
    <mergeCell ref="B20:B21"/>
    <mergeCell ref="C20:C21"/>
    <mergeCell ref="D20:D21"/>
    <mergeCell ref="O20:O21"/>
    <mergeCell ref="A23:A24"/>
    <mergeCell ref="B23:B24"/>
    <mergeCell ref="C23:C24"/>
    <mergeCell ref="D23:D24"/>
    <mergeCell ref="O23:O24"/>
    <mergeCell ref="A25:A26"/>
    <mergeCell ref="B25:B26"/>
    <mergeCell ref="C25:C26"/>
    <mergeCell ref="D25:D26"/>
    <mergeCell ref="O25:O26"/>
    <mergeCell ref="A27:A28"/>
    <mergeCell ref="B27:B28"/>
    <mergeCell ref="C27:C28"/>
    <mergeCell ref="D27:D28"/>
    <mergeCell ref="O27:O28"/>
    <mergeCell ref="A30:A31"/>
    <mergeCell ref="B30:B31"/>
    <mergeCell ref="C30:C31"/>
    <mergeCell ref="D30:D31"/>
    <mergeCell ref="O30:O31"/>
    <mergeCell ref="A33:A34"/>
    <mergeCell ref="B33:B34"/>
    <mergeCell ref="C33:C34"/>
    <mergeCell ref="D33:D34"/>
    <mergeCell ref="O33:O34"/>
    <mergeCell ref="X37:X38"/>
    <mergeCell ref="A43:A44"/>
    <mergeCell ref="B43:B44"/>
    <mergeCell ref="C43:C44"/>
    <mergeCell ref="D43:D44"/>
    <mergeCell ref="O43:O44"/>
    <mergeCell ref="A36:A37"/>
    <mergeCell ref="B36:B38"/>
    <mergeCell ref="C36:C38"/>
    <mergeCell ref="D36:D38"/>
    <mergeCell ref="O36:O38"/>
    <mergeCell ref="G37:G38"/>
    <mergeCell ref="H37:H38"/>
    <mergeCell ref="Y30:Y31"/>
    <mergeCell ref="Y33:Y34"/>
    <mergeCell ref="Y36:Y38"/>
    <mergeCell ref="Y43:Y44"/>
    <mergeCell ref="Y11:Y12"/>
    <mergeCell ref="Y23:Y24"/>
    <mergeCell ref="Y25:Y26"/>
    <mergeCell ref="Y27:Y28"/>
    <mergeCell ref="Y20:Y21"/>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V56"/>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16384" width="11.44140625" style="3"/>
  </cols>
  <sheetData>
    <row r="1" spans="1:256"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6"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s="25" customFormat="1" ht="24.9" customHeight="1">
      <c r="A3" s="2875" t="s">
        <v>87</v>
      </c>
      <c r="B3" s="2875"/>
      <c r="C3" s="2875" t="s">
        <v>75</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ht="53.25" customHeight="1">
      <c r="A5" s="2944" t="s">
        <v>88</v>
      </c>
      <c r="B5" s="3336" t="s">
        <v>4</v>
      </c>
      <c r="C5" s="2944" t="s">
        <v>3</v>
      </c>
      <c r="D5" s="2944" t="s">
        <v>108</v>
      </c>
      <c r="E5" s="2944" t="s">
        <v>2</v>
      </c>
      <c r="F5" s="2944" t="s">
        <v>89</v>
      </c>
      <c r="G5" s="2944" t="s">
        <v>106</v>
      </c>
      <c r="H5" s="2944" t="s">
        <v>107</v>
      </c>
      <c r="I5" s="2944" t="s">
        <v>8</v>
      </c>
      <c r="J5" s="2944" t="s">
        <v>9</v>
      </c>
      <c r="K5" s="2944" t="s">
        <v>10</v>
      </c>
      <c r="L5" s="2944" t="s">
        <v>11</v>
      </c>
      <c r="M5" s="2946" t="s">
        <v>100</v>
      </c>
      <c r="N5" s="2946" t="s">
        <v>12</v>
      </c>
      <c r="O5" s="2946" t="s">
        <v>86</v>
      </c>
      <c r="P5" s="2947" t="s">
        <v>1</v>
      </c>
      <c r="Q5" s="2946" t="s">
        <v>13</v>
      </c>
      <c r="R5" s="2946" t="s">
        <v>14</v>
      </c>
      <c r="S5" s="2946" t="s">
        <v>16</v>
      </c>
      <c r="T5" s="2946" t="s">
        <v>15</v>
      </c>
      <c r="U5" s="2946" t="s">
        <v>103</v>
      </c>
      <c r="V5" s="2947" t="s">
        <v>6</v>
      </c>
      <c r="W5" s="2947" t="s">
        <v>7</v>
      </c>
      <c r="X5" s="2946" t="s">
        <v>0</v>
      </c>
      <c r="Y5" s="2946" t="s">
        <v>90</v>
      </c>
    </row>
    <row r="6" spans="1:256" ht="42.75" customHeight="1">
      <c r="A6" s="3024"/>
      <c r="B6" s="3337"/>
      <c r="C6" s="3024"/>
      <c r="D6" s="3024"/>
      <c r="E6" s="3024"/>
      <c r="F6" s="3024"/>
      <c r="G6" s="3024"/>
      <c r="H6" s="3024"/>
      <c r="I6" s="3024"/>
      <c r="J6" s="3024"/>
      <c r="K6" s="3024"/>
      <c r="L6" s="3024"/>
      <c r="M6" s="3022"/>
      <c r="N6" s="3022"/>
      <c r="O6" s="3022"/>
      <c r="P6" s="3016"/>
      <c r="Q6" s="3022"/>
      <c r="R6" s="3022"/>
      <c r="S6" s="3022"/>
      <c r="T6" s="3022"/>
      <c r="U6" s="3022"/>
      <c r="V6" s="3016"/>
      <c r="W6" s="3016"/>
      <c r="X6" s="3022"/>
      <c r="Y6" s="3022"/>
    </row>
    <row r="7" spans="1:256" ht="15.6">
      <c r="A7" s="2520"/>
      <c r="B7" s="2521">
        <v>52</v>
      </c>
      <c r="C7" s="2522" t="s">
        <v>114</v>
      </c>
      <c r="D7" s="2523" t="s">
        <v>162</v>
      </c>
      <c r="E7" s="2522"/>
      <c r="F7" s="2524"/>
      <c r="G7" s="2524"/>
      <c r="H7" s="2524"/>
      <c r="I7" s="2524"/>
      <c r="J7" s="2524"/>
      <c r="K7" s="2525"/>
      <c r="L7" s="2524"/>
      <c r="M7" s="2524"/>
      <c r="N7" s="2524"/>
      <c r="O7" s="2524"/>
      <c r="P7" s="2524"/>
      <c r="Q7" s="2524"/>
      <c r="R7" s="2524"/>
      <c r="S7" s="2524"/>
      <c r="T7" s="2524"/>
      <c r="U7" s="2524"/>
      <c r="V7" s="2524"/>
      <c r="W7" s="2524"/>
      <c r="X7" s="2524"/>
      <c r="Y7" s="2524"/>
    </row>
    <row r="8" spans="1:256" ht="15.6">
      <c r="A8" s="2526"/>
      <c r="B8" s="2527">
        <v>5203</v>
      </c>
      <c r="C8" s="2528" t="s">
        <v>115</v>
      </c>
      <c r="D8" s="2529" t="s">
        <v>163</v>
      </c>
      <c r="E8" s="2526"/>
      <c r="F8" s="2530"/>
      <c r="G8" s="2530"/>
      <c r="H8" s="2531"/>
      <c r="I8" s="2530"/>
      <c r="J8" s="2530"/>
      <c r="K8" s="2531"/>
      <c r="L8" s="2530"/>
      <c r="M8" s="2530"/>
      <c r="N8" s="2532"/>
      <c r="O8" s="2532"/>
      <c r="P8" s="2533"/>
      <c r="Q8" s="2530"/>
      <c r="R8" s="2530"/>
      <c r="S8" s="2530"/>
      <c r="T8" s="2530"/>
      <c r="U8" s="2530"/>
      <c r="V8" s="2530"/>
      <c r="W8" s="2530"/>
      <c r="X8" s="2530"/>
      <c r="Y8" s="2530"/>
    </row>
    <row r="9" spans="1:256">
      <c r="A9" s="2534"/>
      <c r="B9" s="2535">
        <v>5203008</v>
      </c>
      <c r="C9" s="2536" t="s">
        <v>116</v>
      </c>
      <c r="D9" s="2537" t="s">
        <v>175</v>
      </c>
      <c r="E9" s="2534"/>
      <c r="F9" s="2538"/>
      <c r="G9" s="2538"/>
      <c r="H9" s="2539"/>
      <c r="I9" s="2538"/>
      <c r="J9" s="2538"/>
      <c r="K9" s="2539"/>
      <c r="L9" s="2538"/>
      <c r="M9" s="2538"/>
      <c r="N9" s="2540"/>
      <c r="O9" s="2540"/>
      <c r="P9" s="2541"/>
      <c r="Q9" s="2538"/>
      <c r="R9" s="2538"/>
      <c r="S9" s="2538"/>
      <c r="T9" s="2538"/>
      <c r="U9" s="2538"/>
      <c r="V9" s="2538"/>
      <c r="W9" s="2538"/>
      <c r="X9" s="2538"/>
      <c r="Y9" s="2538"/>
    </row>
    <row r="10" spans="1:256" ht="27.6">
      <c r="A10" s="2542"/>
      <c r="B10" s="2543">
        <v>52030080002</v>
      </c>
      <c r="C10" s="2542" t="s">
        <v>117</v>
      </c>
      <c r="D10" s="2544" t="s">
        <v>5069</v>
      </c>
      <c r="E10" s="2545"/>
      <c r="F10" s="2592"/>
      <c r="G10" s="2546"/>
      <c r="H10" s="2545"/>
      <c r="I10" s="2547"/>
      <c r="J10" s="2547"/>
      <c r="K10" s="2592"/>
      <c r="L10" s="2547"/>
      <c r="M10" s="2548"/>
      <c r="N10" s="2547"/>
      <c r="O10" s="2546"/>
      <c r="P10" s="2549"/>
      <c r="Q10" s="2549"/>
      <c r="R10" s="2549"/>
      <c r="S10" s="2549"/>
      <c r="T10" s="2549"/>
      <c r="U10" s="2549"/>
      <c r="V10" s="2549"/>
      <c r="W10" s="2549"/>
      <c r="X10" s="2549"/>
      <c r="Y10" s="2549"/>
    </row>
    <row r="11" spans="1:256">
      <c r="A11" s="3342">
        <v>4173</v>
      </c>
      <c r="B11" s="3345"/>
      <c r="C11" s="3342" t="s">
        <v>502</v>
      </c>
      <c r="D11" s="3338" t="s">
        <v>5070</v>
      </c>
      <c r="E11" s="2593" t="s">
        <v>5071</v>
      </c>
      <c r="F11" s="2545"/>
      <c r="G11" s="2546"/>
      <c r="H11" s="2545"/>
      <c r="I11" s="2547"/>
      <c r="J11" s="2547"/>
      <c r="K11" s="2549">
        <f>SUM(K12)</f>
        <v>5</v>
      </c>
      <c r="L11" s="2550">
        <f>SUM(L12:L13)</f>
        <v>1</v>
      </c>
      <c r="M11" s="2548"/>
      <c r="N11" s="2551">
        <f>+N12+N13</f>
        <v>3.5999999999999997E-2</v>
      </c>
      <c r="O11" s="3339">
        <f>IF(Q11&gt;0,N11,"na")</f>
        <v>3.5999999999999997E-2</v>
      </c>
      <c r="P11" s="2552">
        <f>SUM(P12:P13)</f>
        <v>500000000</v>
      </c>
      <c r="Q11" s="2552">
        <f>SUM(Q12:Q13)</f>
        <v>500000000</v>
      </c>
      <c r="R11" s="2552">
        <f>SUM(R12:R13)</f>
        <v>10462000</v>
      </c>
      <c r="S11" s="2552">
        <f>SUM(S12:S13)</f>
        <v>0</v>
      </c>
      <c r="T11" s="2553">
        <f t="shared" ref="T11:U13" si="0">IF(Q11=0,0,R11/Q11)</f>
        <v>2.0924000000000002E-2</v>
      </c>
      <c r="U11" s="2553">
        <f t="shared" si="0"/>
        <v>0</v>
      </c>
      <c r="V11" s="2554"/>
      <c r="W11" s="2554"/>
      <c r="X11" s="2549"/>
      <c r="Y11" s="3338" t="s">
        <v>5072</v>
      </c>
    </row>
    <row r="12" spans="1:256" ht="26.4">
      <c r="A12" s="3343"/>
      <c r="B12" s="3346"/>
      <c r="C12" s="3343"/>
      <c r="D12" s="3338"/>
      <c r="E12" s="2545" t="s">
        <v>5073</v>
      </c>
      <c r="F12" s="2545"/>
      <c r="G12" s="3338" t="s">
        <v>5069</v>
      </c>
      <c r="H12" s="2545"/>
      <c r="I12" s="2547" t="s">
        <v>5074</v>
      </c>
      <c r="J12" s="2547" t="s">
        <v>2137</v>
      </c>
      <c r="K12" s="2549">
        <v>5</v>
      </c>
      <c r="L12" s="2550">
        <v>0.8</v>
      </c>
      <c r="M12" s="2548">
        <v>0</v>
      </c>
      <c r="N12" s="2555">
        <f>L12/K12*M12</f>
        <v>0</v>
      </c>
      <c r="O12" s="3339"/>
      <c r="P12" s="2552">
        <v>469676000</v>
      </c>
      <c r="Q12" s="2556">
        <v>469676000</v>
      </c>
      <c r="R12" s="2552">
        <v>0</v>
      </c>
      <c r="S12" s="2552">
        <v>0</v>
      </c>
      <c r="T12" s="2553">
        <f t="shared" si="0"/>
        <v>0</v>
      </c>
      <c r="U12" s="2553">
        <f t="shared" si="0"/>
        <v>0</v>
      </c>
      <c r="V12" s="2554"/>
      <c r="W12" s="2554"/>
      <c r="X12" s="2547"/>
      <c r="Y12" s="3338"/>
    </row>
    <row r="13" spans="1:256" ht="79.2">
      <c r="A13" s="3344"/>
      <c r="B13" s="3347"/>
      <c r="C13" s="3344"/>
      <c r="D13" s="3338"/>
      <c r="E13" s="2545" t="s">
        <v>5075</v>
      </c>
      <c r="F13" s="2545"/>
      <c r="G13" s="3338"/>
      <c r="H13" s="2545"/>
      <c r="I13" s="2547" t="s">
        <v>5076</v>
      </c>
      <c r="J13" s="2547" t="s">
        <v>124</v>
      </c>
      <c r="K13" s="2549">
        <v>1</v>
      </c>
      <c r="L13" s="2550">
        <v>0.2</v>
      </c>
      <c r="M13" s="2548">
        <v>0</v>
      </c>
      <c r="N13" s="2555">
        <v>3.5999999999999997E-2</v>
      </c>
      <c r="O13" s="3339"/>
      <c r="P13" s="2552">
        <v>30324000</v>
      </c>
      <c r="Q13" s="2556">
        <v>30324000</v>
      </c>
      <c r="R13" s="2552">
        <v>10462000</v>
      </c>
      <c r="S13" s="2552">
        <v>0</v>
      </c>
      <c r="T13" s="2553">
        <f t="shared" si="0"/>
        <v>0.34500725497955415</v>
      </c>
      <c r="U13" s="2553">
        <f t="shared" si="0"/>
        <v>0</v>
      </c>
      <c r="V13" s="2554">
        <v>45323</v>
      </c>
      <c r="W13" s="2554">
        <v>45657</v>
      </c>
      <c r="X13" s="2547" t="s">
        <v>5077</v>
      </c>
      <c r="Y13" s="3338"/>
    </row>
    <row r="14" spans="1:256" ht="27.6">
      <c r="A14" s="2542"/>
      <c r="B14" s="2543">
        <v>52030080003</v>
      </c>
      <c r="C14" s="2557" t="s">
        <v>117</v>
      </c>
      <c r="D14" s="2558" t="s">
        <v>5078</v>
      </c>
      <c r="E14" s="2545"/>
      <c r="F14" s="2545"/>
      <c r="G14" s="2546"/>
      <c r="H14" s="2545"/>
      <c r="I14" s="2547"/>
      <c r="J14" s="2547"/>
      <c r="K14" s="2547">
        <f>SUM(K15)</f>
        <v>8</v>
      </c>
      <c r="L14" s="2551"/>
      <c r="M14" s="2552">
        <f>M16</f>
        <v>0</v>
      </c>
      <c r="N14" s="2551"/>
      <c r="O14" s="2555"/>
      <c r="P14" s="2548"/>
      <c r="Q14" s="2552"/>
      <c r="R14" s="2552"/>
      <c r="S14" s="2552"/>
      <c r="T14" s="2559"/>
      <c r="U14" s="2559"/>
      <c r="V14" s="2554"/>
      <c r="W14" s="2554"/>
      <c r="X14" s="2547"/>
      <c r="Y14" s="2549"/>
    </row>
    <row r="15" spans="1:256">
      <c r="A15" s="3342">
        <v>4173</v>
      </c>
      <c r="B15" s="3345"/>
      <c r="C15" s="3342" t="s">
        <v>502</v>
      </c>
      <c r="D15" s="3338" t="s">
        <v>5079</v>
      </c>
      <c r="E15" s="2545" t="s">
        <v>5080</v>
      </c>
      <c r="F15" s="2545"/>
      <c r="G15" s="2546">
        <v>0</v>
      </c>
      <c r="H15" s="2545"/>
      <c r="I15" s="2547"/>
      <c r="J15" s="2547"/>
      <c r="K15" s="2549">
        <f>SUM(K16)</f>
        <v>8</v>
      </c>
      <c r="L15" s="2551">
        <f>SUM(L16:L17)</f>
        <v>1</v>
      </c>
      <c r="M15" s="2552"/>
      <c r="N15" s="2551">
        <f>+N16+N17</f>
        <v>3.5999999999999997E-2</v>
      </c>
      <c r="O15" s="3339">
        <f>IF(Q15&gt;0,N15,"na")</f>
        <v>3.5999999999999997E-2</v>
      </c>
      <c r="P15" s="2552">
        <f>SUM(P16:P17)</f>
        <v>500000000</v>
      </c>
      <c r="Q15" s="2552">
        <f>SUM(Q16:Q17)</f>
        <v>500000000</v>
      </c>
      <c r="R15" s="2552">
        <f>SUM(R16:R17)</f>
        <v>13314000</v>
      </c>
      <c r="S15" s="2552">
        <f>SUM(S16:S17)</f>
        <v>0</v>
      </c>
      <c r="T15" s="2553">
        <f t="shared" ref="T15:U17" si="1">IF(Q15=0,0,R15/Q15)</f>
        <v>2.6627999999999999E-2</v>
      </c>
      <c r="U15" s="2553">
        <f t="shared" si="1"/>
        <v>0</v>
      </c>
      <c r="V15" s="2554"/>
      <c r="W15" s="2554"/>
      <c r="X15" s="2547"/>
      <c r="Y15" s="3338" t="s">
        <v>5072</v>
      </c>
    </row>
    <row r="16" spans="1:256" ht="118.8">
      <c r="A16" s="3343"/>
      <c r="B16" s="3346"/>
      <c r="C16" s="3343"/>
      <c r="D16" s="3338"/>
      <c r="E16" s="2545" t="s">
        <v>5081</v>
      </c>
      <c r="F16" s="2545"/>
      <c r="G16" s="2546" t="s">
        <v>5078</v>
      </c>
      <c r="H16" s="2545"/>
      <c r="I16" s="2547" t="s">
        <v>5082</v>
      </c>
      <c r="J16" s="2547" t="s">
        <v>2137</v>
      </c>
      <c r="K16" s="2549">
        <v>8</v>
      </c>
      <c r="L16" s="2551">
        <v>0.8</v>
      </c>
      <c r="M16" s="2548">
        <v>0</v>
      </c>
      <c r="N16" s="2555">
        <f>M16/K16*L16</f>
        <v>0</v>
      </c>
      <c r="O16" s="3339"/>
      <c r="P16" s="2552">
        <v>469676000</v>
      </c>
      <c r="Q16" s="2552">
        <v>469676000</v>
      </c>
      <c r="R16" s="2556">
        <v>0</v>
      </c>
      <c r="S16" s="2552">
        <v>0</v>
      </c>
      <c r="T16" s="2553">
        <f t="shared" si="1"/>
        <v>0</v>
      </c>
      <c r="U16" s="2553">
        <f t="shared" si="1"/>
        <v>0</v>
      </c>
      <c r="V16" s="2554"/>
      <c r="W16" s="2554"/>
      <c r="X16" s="2547"/>
      <c r="Y16" s="3338"/>
    </row>
    <row r="17" spans="1:25" ht="52.8">
      <c r="A17" s="3344"/>
      <c r="B17" s="3347"/>
      <c r="C17" s="3344"/>
      <c r="D17" s="3338"/>
      <c r="E17" s="2545"/>
      <c r="F17" s="2545"/>
      <c r="G17" s="2546"/>
      <c r="H17" s="2545"/>
      <c r="I17" s="2547" t="s">
        <v>5083</v>
      </c>
      <c r="J17" s="2547" t="s">
        <v>124</v>
      </c>
      <c r="K17" s="2549">
        <v>1</v>
      </c>
      <c r="L17" s="2551">
        <v>0.2</v>
      </c>
      <c r="M17" s="2548">
        <v>0</v>
      </c>
      <c r="N17" s="2555">
        <v>3.5999999999999997E-2</v>
      </c>
      <c r="O17" s="3339"/>
      <c r="P17" s="2552">
        <v>30324000</v>
      </c>
      <c r="Q17" s="2552">
        <v>30324000</v>
      </c>
      <c r="R17" s="2552">
        <v>13314000</v>
      </c>
      <c r="S17" s="2552">
        <v>0</v>
      </c>
      <c r="T17" s="2553">
        <f t="shared" si="1"/>
        <v>0.43905817174515238</v>
      </c>
      <c r="U17" s="2553">
        <f t="shared" si="1"/>
        <v>0</v>
      </c>
      <c r="V17" s="2554">
        <v>45323</v>
      </c>
      <c r="W17" s="2554">
        <v>45657</v>
      </c>
      <c r="X17" s="2547" t="s">
        <v>5077</v>
      </c>
      <c r="Y17" s="3338"/>
    </row>
    <row r="18" spans="1:25">
      <c r="A18" s="3342">
        <v>4173</v>
      </c>
      <c r="B18" s="3345"/>
      <c r="C18" s="3342" t="s">
        <v>502</v>
      </c>
      <c r="D18" s="3338" t="s">
        <v>5084</v>
      </c>
      <c r="E18" s="2545" t="s">
        <v>5085</v>
      </c>
      <c r="F18" s="2545"/>
      <c r="G18" s="2546"/>
      <c r="H18" s="2545"/>
      <c r="I18" s="2547"/>
      <c r="J18" s="2547"/>
      <c r="K18" s="2549">
        <f>SUM(K19)</f>
        <v>1</v>
      </c>
      <c r="L18" s="2550">
        <f>SUM(L19)</f>
        <v>1</v>
      </c>
      <c r="M18" s="2548">
        <f>SUM(M19)</f>
        <v>0</v>
      </c>
      <c r="N18" s="2551">
        <f>SUM(N19)</f>
        <v>0</v>
      </c>
      <c r="O18" s="3339">
        <f>IF(Q18&gt;0,N18,"na")</f>
        <v>0</v>
      </c>
      <c r="P18" s="2552">
        <f>SUM(P19)</f>
        <v>117917069</v>
      </c>
      <c r="Q18" s="2552">
        <f>SUM(Q19)</f>
        <v>117917069</v>
      </c>
      <c r="R18" s="2552">
        <f>SUM(R19)</f>
        <v>0</v>
      </c>
      <c r="S18" s="2552">
        <f>SUM(S19)</f>
        <v>0</v>
      </c>
      <c r="T18" s="2553">
        <f>IF(Q18=0,0,R18/Q18)</f>
        <v>0</v>
      </c>
      <c r="U18" s="2553">
        <f>IF(R18=0,0,S18/R18)</f>
        <v>0</v>
      </c>
      <c r="V18" s="2554"/>
      <c r="W18" s="2554"/>
      <c r="X18" s="2547"/>
      <c r="Y18" s="3338" t="s">
        <v>5072</v>
      </c>
    </row>
    <row r="19" spans="1:25" ht="132">
      <c r="A19" s="3344"/>
      <c r="B19" s="3347"/>
      <c r="C19" s="3344"/>
      <c r="D19" s="3338"/>
      <c r="E19" s="2545" t="s">
        <v>5086</v>
      </c>
      <c r="F19" s="2545"/>
      <c r="G19" s="2546" t="s">
        <v>5069</v>
      </c>
      <c r="H19" s="2545"/>
      <c r="I19" s="2547" t="s">
        <v>5087</v>
      </c>
      <c r="J19" s="2547" t="s">
        <v>2137</v>
      </c>
      <c r="K19" s="2549">
        <v>1</v>
      </c>
      <c r="L19" s="2550">
        <v>1</v>
      </c>
      <c r="M19" s="2548">
        <v>0</v>
      </c>
      <c r="N19" s="2555">
        <f>M19/K19*L19</f>
        <v>0</v>
      </c>
      <c r="O19" s="3339"/>
      <c r="P19" s="2552">
        <v>117917069</v>
      </c>
      <c r="Q19" s="2556">
        <v>117917069</v>
      </c>
      <c r="R19" s="2552">
        <v>0</v>
      </c>
      <c r="S19" s="2552">
        <v>0</v>
      </c>
      <c r="T19" s="2553">
        <f>IF(Q19=0,0,R19/Q19)</f>
        <v>0</v>
      </c>
      <c r="U19" s="2553">
        <f>IF(R19=0,0,S19/R19)</f>
        <v>0</v>
      </c>
      <c r="V19" s="2554"/>
      <c r="W19" s="2554"/>
      <c r="X19" s="2547"/>
      <c r="Y19" s="3338"/>
    </row>
    <row r="20" spans="1:25" ht="15.6">
      <c r="A20" s="2542"/>
      <c r="B20" s="2527">
        <v>54</v>
      </c>
      <c r="C20" s="2531" t="s">
        <v>114</v>
      </c>
      <c r="D20" s="2560" t="s">
        <v>122</v>
      </c>
      <c r="E20" s="2526"/>
      <c r="F20" s="2526"/>
      <c r="G20" s="2529"/>
      <c r="H20" s="2526"/>
      <c r="I20" s="2533"/>
      <c r="J20" s="2533"/>
      <c r="K20" s="2561"/>
      <c r="L20" s="2562"/>
      <c r="M20" s="2563"/>
      <c r="N20" s="2562"/>
      <c r="O20" s="2596"/>
      <c r="P20" s="2564"/>
      <c r="Q20" s="2563"/>
      <c r="R20" s="2563"/>
      <c r="S20" s="2563"/>
      <c r="T20" s="2565"/>
      <c r="U20" s="2565"/>
      <c r="V20" s="2566"/>
      <c r="W20" s="2566"/>
      <c r="X20" s="2533"/>
      <c r="Y20" s="2530"/>
    </row>
    <row r="21" spans="1:25" ht="15.6">
      <c r="A21" s="2526"/>
      <c r="B21" s="2527">
        <v>5401</v>
      </c>
      <c r="C21" s="2531" t="s">
        <v>115</v>
      </c>
      <c r="D21" s="2533" t="s">
        <v>134</v>
      </c>
      <c r="E21" s="2526"/>
      <c r="F21" s="2526"/>
      <c r="G21" s="2529"/>
      <c r="H21" s="2526"/>
      <c r="I21" s="2533"/>
      <c r="J21" s="2533"/>
      <c r="K21" s="2561"/>
      <c r="L21" s="2562"/>
      <c r="M21" s="2563"/>
      <c r="N21" s="2562"/>
      <c r="O21" s="2596"/>
      <c r="P21" s="2564"/>
      <c r="Q21" s="2563"/>
      <c r="R21" s="2563"/>
      <c r="S21" s="2563"/>
      <c r="T21" s="2565"/>
      <c r="U21" s="2565"/>
      <c r="V21" s="2566"/>
      <c r="W21" s="2566"/>
      <c r="X21" s="2533"/>
      <c r="Y21" s="2530"/>
    </row>
    <row r="22" spans="1:25" ht="15.6">
      <c r="A22" s="2526"/>
      <c r="B22" s="2535">
        <v>5401001</v>
      </c>
      <c r="C22" s="2536" t="s">
        <v>116</v>
      </c>
      <c r="D22" s="2541" t="s">
        <v>202</v>
      </c>
      <c r="E22" s="2534"/>
      <c r="F22" s="2534"/>
      <c r="G22" s="2537"/>
      <c r="H22" s="2534"/>
      <c r="I22" s="2541"/>
      <c r="J22" s="2541"/>
      <c r="K22" s="2567"/>
      <c r="L22" s="2568"/>
      <c r="M22" s="2569"/>
      <c r="N22" s="2568"/>
      <c r="O22" s="2576"/>
      <c r="P22" s="2570"/>
      <c r="Q22" s="2569"/>
      <c r="R22" s="2569"/>
      <c r="S22" s="2569"/>
      <c r="T22" s="2571"/>
      <c r="U22" s="2571"/>
      <c r="V22" s="2572"/>
      <c r="W22" s="2572"/>
      <c r="X22" s="2541"/>
      <c r="Y22" s="2538"/>
    </row>
    <row r="23" spans="1:25">
      <c r="A23" s="2534"/>
      <c r="B23" s="2543">
        <v>54010010012</v>
      </c>
      <c r="C23" s="2557" t="s">
        <v>117</v>
      </c>
      <c r="D23" s="2558" t="s">
        <v>5088</v>
      </c>
      <c r="E23" s="2545"/>
      <c r="F23" s="2545"/>
      <c r="G23" s="2546"/>
      <c r="H23" s="2573"/>
      <c r="I23" s="2547"/>
      <c r="J23" s="2547"/>
      <c r="K23" s="2549"/>
      <c r="L23" s="2551"/>
      <c r="M23" s="2552"/>
      <c r="N23" s="2551"/>
      <c r="O23" s="2555"/>
      <c r="P23" s="2549"/>
      <c r="Q23" s="2552"/>
      <c r="R23" s="2552"/>
      <c r="S23" s="2552"/>
      <c r="T23" s="2559"/>
      <c r="U23" s="2559"/>
      <c r="V23" s="2554"/>
      <c r="W23" s="2554"/>
      <c r="X23" s="2547"/>
      <c r="Y23" s="2549"/>
    </row>
    <row r="24" spans="1:25">
      <c r="A24" s="3342">
        <v>4173</v>
      </c>
      <c r="B24" s="3345"/>
      <c r="C24" s="3342" t="s">
        <v>502</v>
      </c>
      <c r="D24" s="3338" t="s">
        <v>5089</v>
      </c>
      <c r="E24" s="2545" t="s">
        <v>5090</v>
      </c>
      <c r="F24" s="2545"/>
      <c r="G24" s="2546"/>
      <c r="H24" s="2573"/>
      <c r="I24" s="2547"/>
      <c r="J24" s="2547"/>
      <c r="K24" s="2549">
        <f>SUM(K27)</f>
        <v>5</v>
      </c>
      <c r="L24" s="2551">
        <f>SUM(L25:L28)</f>
        <v>1</v>
      </c>
      <c r="M24" s="2552">
        <f>M27</f>
        <v>2</v>
      </c>
      <c r="N24" s="2551">
        <f>SUM(N25:N28)</f>
        <v>0.27</v>
      </c>
      <c r="O24" s="3339">
        <f>IF(Q24&gt;0,N24,"na")</f>
        <v>0.27</v>
      </c>
      <c r="P24" s="2552">
        <f>SUM(P25:P28)</f>
        <v>2230000000</v>
      </c>
      <c r="Q24" s="2552">
        <f>SUM(Q25:Q28)</f>
        <v>2230000000</v>
      </c>
      <c r="R24" s="2552">
        <f>SUM(R25:R28)</f>
        <v>625362000</v>
      </c>
      <c r="S24" s="2552">
        <f>SUM(S25:S28)</f>
        <v>205804000</v>
      </c>
      <c r="T24" s="2553">
        <f t="shared" ref="T24:U28" si="2">IF(Q24=0,0,R24/Q24)</f>
        <v>0.28043139013452917</v>
      </c>
      <c r="U24" s="2553">
        <f t="shared" si="2"/>
        <v>0.32909578771975273</v>
      </c>
      <c r="V24" s="2554"/>
      <c r="W24" s="2554"/>
      <c r="X24" s="2547"/>
      <c r="Y24" s="3338" t="s">
        <v>5091</v>
      </c>
    </row>
    <row r="25" spans="1:25" ht="92.4">
      <c r="A25" s="3343"/>
      <c r="B25" s="3346"/>
      <c r="C25" s="3343"/>
      <c r="D25" s="3338"/>
      <c r="E25" s="2545" t="s">
        <v>5092</v>
      </c>
      <c r="F25" s="2545"/>
      <c r="G25" s="2546"/>
      <c r="H25" s="2545"/>
      <c r="I25" s="2547" t="s">
        <v>5093</v>
      </c>
      <c r="J25" s="2547" t="s">
        <v>5094</v>
      </c>
      <c r="K25" s="2549">
        <v>1</v>
      </c>
      <c r="L25" s="2574">
        <v>0.2</v>
      </c>
      <c r="M25" s="2552">
        <v>0</v>
      </c>
      <c r="N25" s="2555">
        <v>0.05</v>
      </c>
      <c r="O25" s="3339"/>
      <c r="P25" s="2552">
        <v>198125400</v>
      </c>
      <c r="Q25" s="2556">
        <v>198125400</v>
      </c>
      <c r="R25" s="2552">
        <v>45493000</v>
      </c>
      <c r="S25" s="2552">
        <v>10462000</v>
      </c>
      <c r="T25" s="2553">
        <f t="shared" si="2"/>
        <v>0.22961720203467098</v>
      </c>
      <c r="U25" s="2553">
        <f t="shared" si="2"/>
        <v>0.2299694458488119</v>
      </c>
      <c r="V25" s="2554">
        <v>45306</v>
      </c>
      <c r="W25" s="2554">
        <v>45657</v>
      </c>
      <c r="X25" s="2547" t="s">
        <v>5095</v>
      </c>
      <c r="Y25" s="3338"/>
    </row>
    <row r="26" spans="1:25" ht="79.2">
      <c r="A26" s="3343"/>
      <c r="B26" s="3346"/>
      <c r="C26" s="3343"/>
      <c r="D26" s="3338"/>
      <c r="E26" s="2545" t="s">
        <v>5096</v>
      </c>
      <c r="F26" s="2545"/>
      <c r="G26" s="2546"/>
      <c r="H26" s="2545"/>
      <c r="I26" s="2547" t="s">
        <v>5097</v>
      </c>
      <c r="J26" s="2547" t="s">
        <v>5098</v>
      </c>
      <c r="K26" s="2549">
        <v>1</v>
      </c>
      <c r="L26" s="2574">
        <v>0.2</v>
      </c>
      <c r="M26" s="2552">
        <v>0</v>
      </c>
      <c r="N26" s="2555">
        <v>0.05</v>
      </c>
      <c r="O26" s="3339"/>
      <c r="P26" s="2552">
        <v>174867000</v>
      </c>
      <c r="Q26" s="2552">
        <v>174867000</v>
      </c>
      <c r="R26" s="2552">
        <v>43590000</v>
      </c>
      <c r="S26" s="2552">
        <v>16168000</v>
      </c>
      <c r="T26" s="2553">
        <f t="shared" si="2"/>
        <v>0.24927516340990583</v>
      </c>
      <c r="U26" s="2553">
        <f t="shared" si="2"/>
        <v>0.37091075934847439</v>
      </c>
      <c r="V26" s="2554">
        <v>45306</v>
      </c>
      <c r="W26" s="2554">
        <v>45657</v>
      </c>
      <c r="X26" s="2547" t="s">
        <v>5099</v>
      </c>
      <c r="Y26" s="3338"/>
    </row>
    <row r="27" spans="1:25" ht="92.4">
      <c r="A27" s="3343"/>
      <c r="B27" s="3346"/>
      <c r="C27" s="3343"/>
      <c r="D27" s="3338"/>
      <c r="E27" s="2545" t="s">
        <v>5100</v>
      </c>
      <c r="F27" s="2545"/>
      <c r="G27" s="3338" t="s">
        <v>5088</v>
      </c>
      <c r="H27" s="2573"/>
      <c r="I27" s="2547" t="s">
        <v>5101</v>
      </c>
      <c r="J27" s="2547" t="s">
        <v>3839</v>
      </c>
      <c r="K27" s="2549">
        <v>5</v>
      </c>
      <c r="L27" s="2574">
        <v>0.4</v>
      </c>
      <c r="M27" s="2552">
        <v>2</v>
      </c>
      <c r="N27" s="2555">
        <v>0.12</v>
      </c>
      <c r="O27" s="3339"/>
      <c r="P27" s="2552">
        <v>1777154200</v>
      </c>
      <c r="Q27" s="2556">
        <v>1777154200</v>
      </c>
      <c r="R27" s="2552">
        <v>509173000</v>
      </c>
      <c r="S27" s="2552">
        <v>175528000</v>
      </c>
      <c r="T27" s="2553">
        <f>IF(Q27=0,0,R27/Q27)</f>
        <v>0.28651030957246143</v>
      </c>
      <c r="U27" s="2553">
        <f>IF(R27=0,0,S27/R27)</f>
        <v>0.34473155489391621</v>
      </c>
      <c r="V27" s="2554">
        <v>45306</v>
      </c>
      <c r="W27" s="2554">
        <v>45657</v>
      </c>
      <c r="X27" s="2547" t="s">
        <v>5102</v>
      </c>
      <c r="Y27" s="3338"/>
    </row>
    <row r="28" spans="1:25" ht="132">
      <c r="A28" s="3344"/>
      <c r="B28" s="3347"/>
      <c r="C28" s="3344"/>
      <c r="D28" s="3338"/>
      <c r="E28" s="2545" t="s">
        <v>5103</v>
      </c>
      <c r="F28" s="2545"/>
      <c r="G28" s="3338"/>
      <c r="H28" s="2545"/>
      <c r="I28" s="2547" t="s">
        <v>5104</v>
      </c>
      <c r="J28" s="2547" t="s">
        <v>2573</v>
      </c>
      <c r="K28" s="2549">
        <v>4</v>
      </c>
      <c r="L28" s="2574">
        <v>0.2</v>
      </c>
      <c r="M28" s="2552">
        <v>1</v>
      </c>
      <c r="N28" s="2555">
        <v>0.05</v>
      </c>
      <c r="O28" s="3339"/>
      <c r="P28" s="2552">
        <v>79853400</v>
      </c>
      <c r="Q28" s="2552">
        <v>79853400</v>
      </c>
      <c r="R28" s="2552">
        <v>27106000</v>
      </c>
      <c r="S28" s="2552">
        <v>3646000</v>
      </c>
      <c r="T28" s="2553">
        <f t="shared" si="2"/>
        <v>0.33944703669474313</v>
      </c>
      <c r="U28" s="2553">
        <f t="shared" si="2"/>
        <v>0.13450896480484026</v>
      </c>
      <c r="V28" s="2554">
        <v>45306</v>
      </c>
      <c r="W28" s="2554">
        <v>45657</v>
      </c>
      <c r="X28" s="2547" t="s">
        <v>5105</v>
      </c>
      <c r="Y28" s="3338"/>
    </row>
    <row r="29" spans="1:25" ht="15.6">
      <c r="A29" s="2542"/>
      <c r="B29" s="2527">
        <v>5402</v>
      </c>
      <c r="C29" s="2531" t="s">
        <v>115</v>
      </c>
      <c r="D29" s="2533" t="s">
        <v>118</v>
      </c>
      <c r="E29" s="2526"/>
      <c r="F29" s="2526"/>
      <c r="G29" s="2529"/>
      <c r="H29" s="2526"/>
      <c r="I29" s="2533"/>
      <c r="J29" s="2533"/>
      <c r="K29" s="2561"/>
      <c r="L29" s="2562"/>
      <c r="M29" s="2563"/>
      <c r="N29" s="2562"/>
      <c r="O29" s="2596"/>
      <c r="P29" s="2564"/>
      <c r="Q29" s="2563"/>
      <c r="R29" s="2563"/>
      <c r="S29" s="2563"/>
      <c r="T29" s="2565"/>
      <c r="U29" s="2565"/>
      <c r="V29" s="2566"/>
      <c r="W29" s="2566"/>
      <c r="X29" s="2533"/>
      <c r="Y29" s="2530"/>
    </row>
    <row r="30" spans="1:25" ht="15.6">
      <c r="A30" s="2526"/>
      <c r="B30" s="2535">
        <v>5402001</v>
      </c>
      <c r="C30" s="2536" t="s">
        <v>116</v>
      </c>
      <c r="D30" s="2541" t="s">
        <v>119</v>
      </c>
      <c r="E30" s="2534"/>
      <c r="F30" s="2534"/>
      <c r="G30" s="2537"/>
      <c r="H30" s="2534"/>
      <c r="I30" s="2541"/>
      <c r="J30" s="2541"/>
      <c r="K30" s="2567"/>
      <c r="L30" s="2568"/>
      <c r="M30" s="2569"/>
      <c r="N30" s="2568"/>
      <c r="O30" s="2576"/>
      <c r="P30" s="2570"/>
      <c r="Q30" s="2569"/>
      <c r="R30" s="2569"/>
      <c r="S30" s="2569"/>
      <c r="T30" s="2571"/>
      <c r="U30" s="2571"/>
      <c r="V30" s="2572"/>
      <c r="W30" s="2572"/>
      <c r="X30" s="2541"/>
      <c r="Y30" s="2538"/>
    </row>
    <row r="31" spans="1:25">
      <c r="A31" s="2534"/>
      <c r="B31" s="2543">
        <v>54020010028</v>
      </c>
      <c r="C31" s="2557" t="s">
        <v>117</v>
      </c>
      <c r="D31" s="2558" t="s">
        <v>5106</v>
      </c>
      <c r="E31" s="2545"/>
      <c r="F31" s="2575"/>
      <c r="G31" s="2546"/>
      <c r="H31" s="2575"/>
      <c r="I31" s="2547"/>
      <c r="J31" s="2547"/>
      <c r="K31" s="2549">
        <f>K33</f>
        <v>1</v>
      </c>
      <c r="L31" s="2551"/>
      <c r="M31" s="2552"/>
      <c r="N31" s="2551"/>
      <c r="O31" s="2555"/>
      <c r="P31" s="2548"/>
      <c r="Q31" s="2552"/>
      <c r="R31" s="2552"/>
      <c r="S31" s="2552"/>
      <c r="T31" s="2559"/>
      <c r="U31" s="2559"/>
      <c r="V31" s="2554"/>
      <c r="W31" s="2554"/>
      <c r="X31" s="2547"/>
      <c r="Y31" s="2549"/>
    </row>
    <row r="32" spans="1:25">
      <c r="A32" s="3342">
        <v>4173</v>
      </c>
      <c r="B32" s="3345"/>
      <c r="C32" s="3342" t="s">
        <v>502</v>
      </c>
      <c r="D32" s="3338" t="s">
        <v>5107</v>
      </c>
      <c r="E32" s="2545" t="s">
        <v>5108</v>
      </c>
      <c r="F32" s="2545"/>
      <c r="G32" s="2546"/>
      <c r="H32" s="2575"/>
      <c r="I32" s="2547"/>
      <c r="J32" s="2547"/>
      <c r="K32" s="2549">
        <f>K33</f>
        <v>1</v>
      </c>
      <c r="L32" s="2574">
        <f>SUM(L33:L34)</f>
        <v>1</v>
      </c>
      <c r="M32" s="2552">
        <v>0</v>
      </c>
      <c r="N32" s="2551">
        <f>SUM(N33:N34)</f>
        <v>0.25</v>
      </c>
      <c r="O32" s="3339">
        <f>IF(Q32&gt;0,N32,"na")</f>
        <v>0.25</v>
      </c>
      <c r="P32" s="2552">
        <f>SUM(P33:P34)</f>
        <v>2200000000</v>
      </c>
      <c r="Q32" s="2552">
        <f>SUM(Q33:Q34)</f>
        <v>2200000000</v>
      </c>
      <c r="R32" s="2552">
        <f>SUM(R33:R34)</f>
        <v>749912000</v>
      </c>
      <c r="S32" s="2552">
        <f>SUM(S33:S34)</f>
        <v>360697000</v>
      </c>
      <c r="T32" s="2553">
        <f t="shared" ref="T32:U34" si="3">IF(Q32=0,0,R32/Q32)</f>
        <v>0.3408690909090909</v>
      </c>
      <c r="U32" s="2553">
        <f t="shared" si="3"/>
        <v>0.48098576899689566</v>
      </c>
      <c r="V32" s="2554"/>
      <c r="W32" s="2554"/>
      <c r="X32" s="2547"/>
      <c r="Y32" s="3338" t="s">
        <v>5109</v>
      </c>
    </row>
    <row r="33" spans="1:25" ht="79.2">
      <c r="A33" s="3343"/>
      <c r="B33" s="3346"/>
      <c r="C33" s="3343"/>
      <c r="D33" s="3338"/>
      <c r="E33" s="2545" t="s">
        <v>5110</v>
      </c>
      <c r="F33" s="2545"/>
      <c r="G33" s="2546" t="s">
        <v>5106</v>
      </c>
      <c r="H33" s="2575"/>
      <c r="I33" s="2547" t="s">
        <v>5111</v>
      </c>
      <c r="J33" s="2547" t="s">
        <v>121</v>
      </c>
      <c r="K33" s="2549">
        <v>1</v>
      </c>
      <c r="L33" s="2574">
        <v>0.5</v>
      </c>
      <c r="M33" s="2552">
        <v>0</v>
      </c>
      <c r="N33" s="2555">
        <v>0.125</v>
      </c>
      <c r="O33" s="3339"/>
      <c r="P33" s="2552">
        <v>1489891500</v>
      </c>
      <c r="Q33" s="2552">
        <v>1489891500</v>
      </c>
      <c r="R33" s="2552">
        <v>482181000</v>
      </c>
      <c r="S33" s="2552">
        <v>252233000</v>
      </c>
      <c r="T33" s="2553">
        <f t="shared" si="3"/>
        <v>0.32363497610396463</v>
      </c>
      <c r="U33" s="2553">
        <f t="shared" si="3"/>
        <v>0.52310854222791858</v>
      </c>
      <c r="V33" s="2554">
        <v>45306</v>
      </c>
      <c r="W33" s="2554">
        <v>45657</v>
      </c>
      <c r="X33" s="2547" t="s">
        <v>5112</v>
      </c>
      <c r="Y33" s="3338"/>
    </row>
    <row r="34" spans="1:25" ht="105.6">
      <c r="A34" s="3344"/>
      <c r="B34" s="3347"/>
      <c r="C34" s="3344"/>
      <c r="D34" s="3338"/>
      <c r="E34" s="2545" t="s">
        <v>5113</v>
      </c>
      <c r="F34" s="2545"/>
      <c r="G34" s="2546"/>
      <c r="H34" s="2575"/>
      <c r="I34" s="2547" t="s">
        <v>5114</v>
      </c>
      <c r="J34" s="2547" t="s">
        <v>135</v>
      </c>
      <c r="K34" s="2549">
        <v>1</v>
      </c>
      <c r="L34" s="2574">
        <v>0.5</v>
      </c>
      <c r="M34" s="2552">
        <v>0</v>
      </c>
      <c r="N34" s="2555">
        <v>0.125</v>
      </c>
      <c r="O34" s="3339"/>
      <c r="P34" s="2552">
        <v>710108500</v>
      </c>
      <c r="Q34" s="2552">
        <v>710108500</v>
      </c>
      <c r="R34" s="2552">
        <v>267731000</v>
      </c>
      <c r="S34" s="2552">
        <v>108464000</v>
      </c>
      <c r="T34" s="2553">
        <f t="shared" si="3"/>
        <v>0.37702829919653125</v>
      </c>
      <c r="U34" s="2553">
        <f t="shared" si="3"/>
        <v>0.40512305261624543</v>
      </c>
      <c r="V34" s="2554">
        <v>45306</v>
      </c>
      <c r="W34" s="2554">
        <v>45657</v>
      </c>
      <c r="X34" s="2547" t="s">
        <v>5115</v>
      </c>
      <c r="Y34" s="3338"/>
    </row>
    <row r="35" spans="1:25">
      <c r="A35" s="2542"/>
      <c r="B35" s="2535">
        <v>5402003</v>
      </c>
      <c r="C35" s="2536" t="s">
        <v>116</v>
      </c>
      <c r="D35" s="2541" t="s">
        <v>254</v>
      </c>
      <c r="E35" s="2534"/>
      <c r="F35" s="2534"/>
      <c r="G35" s="2537"/>
      <c r="H35" s="2534"/>
      <c r="I35" s="2541"/>
      <c r="J35" s="2541"/>
      <c r="K35" s="2567"/>
      <c r="L35" s="2568"/>
      <c r="M35" s="2569"/>
      <c r="N35" s="2568"/>
      <c r="O35" s="2576"/>
      <c r="P35" s="2538"/>
      <c r="Q35" s="2569"/>
      <c r="R35" s="2569"/>
      <c r="S35" s="2569"/>
      <c r="T35" s="2571"/>
      <c r="U35" s="2571"/>
      <c r="V35" s="2572"/>
      <c r="W35" s="2572"/>
      <c r="X35" s="2541"/>
      <c r="Y35" s="2534"/>
    </row>
    <row r="36" spans="1:25" ht="27.6">
      <c r="A36" s="2539"/>
      <c r="B36" s="2543">
        <v>54020030006</v>
      </c>
      <c r="C36" s="2557" t="s">
        <v>117</v>
      </c>
      <c r="D36" s="2558" t="s">
        <v>5116</v>
      </c>
      <c r="E36" s="2545"/>
      <c r="F36" s="2575"/>
      <c r="G36" s="2546"/>
      <c r="H36" s="2575"/>
      <c r="I36" s="2547"/>
      <c r="J36" s="2547"/>
      <c r="K36" s="2549"/>
      <c r="L36" s="2551"/>
      <c r="M36" s="2552"/>
      <c r="N36" s="2551"/>
      <c r="O36" s="2555"/>
      <c r="P36" s="2549"/>
      <c r="Q36" s="2552"/>
      <c r="R36" s="2552"/>
      <c r="S36" s="2552"/>
      <c r="T36" s="2559"/>
      <c r="U36" s="2559"/>
      <c r="V36" s="2554"/>
      <c r="W36" s="2554"/>
      <c r="X36" s="2547"/>
      <c r="Y36" s="2545"/>
    </row>
    <row r="37" spans="1:25">
      <c r="A37" s="3342">
        <v>4173</v>
      </c>
      <c r="B37" s="3345"/>
      <c r="C37" s="3342" t="s">
        <v>502</v>
      </c>
      <c r="D37" s="3338" t="s">
        <v>5117</v>
      </c>
      <c r="E37" s="2545" t="s">
        <v>5118</v>
      </c>
      <c r="F37" s="2545"/>
      <c r="G37" s="2546"/>
      <c r="H37" s="2575"/>
      <c r="I37" s="2547"/>
      <c r="J37" s="2547"/>
      <c r="K37" s="2550">
        <f>K38</f>
        <v>1</v>
      </c>
      <c r="L37" s="2574">
        <f>SUM(L38)</f>
        <v>0.7</v>
      </c>
      <c r="M37" s="2574">
        <f>SUM(M38)</f>
        <v>0</v>
      </c>
      <c r="N37" s="2551">
        <f>N38</f>
        <v>0.17499999999999999</v>
      </c>
      <c r="O37" s="3339">
        <f>IF(Q37&gt;0,N37,"na")</f>
        <v>0.17499999999999999</v>
      </c>
      <c r="P37" s="2552">
        <f>SUM(P38:P39)</f>
        <v>2400000000</v>
      </c>
      <c r="Q37" s="2552">
        <f>SUM(Q38:Q39)</f>
        <v>2400000000</v>
      </c>
      <c r="R37" s="2552">
        <f>SUM(R38:R39)</f>
        <v>604434000</v>
      </c>
      <c r="S37" s="2552">
        <f>SUM(S38:S39)</f>
        <v>326592000</v>
      </c>
      <c r="T37" s="2553">
        <f t="shared" ref="T37:U39" si="4">IF(Q37=0,0,R37/Q37)</f>
        <v>0.2518475</v>
      </c>
      <c r="U37" s="2553">
        <f t="shared" si="4"/>
        <v>0.54032698359126063</v>
      </c>
      <c r="V37" s="2554"/>
      <c r="W37" s="2554"/>
      <c r="X37" s="2547"/>
      <c r="Y37" s="3338" t="s">
        <v>5109</v>
      </c>
    </row>
    <row r="38" spans="1:25" ht="92.4">
      <c r="A38" s="3343"/>
      <c r="B38" s="3346"/>
      <c r="C38" s="3343"/>
      <c r="D38" s="3338"/>
      <c r="E38" s="2545" t="s">
        <v>5119</v>
      </c>
      <c r="F38" s="2545"/>
      <c r="G38" s="2546" t="s">
        <v>5116</v>
      </c>
      <c r="H38" s="2575"/>
      <c r="I38" s="2547" t="s">
        <v>5120</v>
      </c>
      <c r="J38" s="2547" t="s">
        <v>220</v>
      </c>
      <c r="K38" s="2549">
        <v>1</v>
      </c>
      <c r="L38" s="2574">
        <v>0.7</v>
      </c>
      <c r="M38" s="2550">
        <v>0</v>
      </c>
      <c r="N38" s="2551">
        <v>0.17499999999999999</v>
      </c>
      <c r="O38" s="3339"/>
      <c r="P38" s="2552">
        <v>2385610776</v>
      </c>
      <c r="Q38" s="2556">
        <v>2385610776</v>
      </c>
      <c r="R38" s="2552">
        <v>604434000</v>
      </c>
      <c r="S38" s="2552">
        <v>326592000</v>
      </c>
      <c r="T38" s="2553">
        <f t="shared" si="4"/>
        <v>0.25336656175466571</v>
      </c>
      <c r="U38" s="2553">
        <f t="shared" si="4"/>
        <v>0.54032698359126063</v>
      </c>
      <c r="V38" s="2554">
        <v>45306</v>
      </c>
      <c r="W38" s="2554">
        <v>45657</v>
      </c>
      <c r="X38" s="2547" t="s">
        <v>5121</v>
      </c>
      <c r="Y38" s="3338"/>
    </row>
    <row r="39" spans="1:25" ht="39.6">
      <c r="A39" s="3344"/>
      <c r="B39" s="3347"/>
      <c r="C39" s="3344"/>
      <c r="D39" s="3338"/>
      <c r="E39" s="2545" t="s">
        <v>5122</v>
      </c>
      <c r="F39" s="2545"/>
      <c r="G39" s="2546"/>
      <c r="H39" s="2575"/>
      <c r="I39" s="2547" t="s">
        <v>5123</v>
      </c>
      <c r="J39" s="2547" t="s">
        <v>5124</v>
      </c>
      <c r="K39" s="2549">
        <v>23</v>
      </c>
      <c r="L39" s="2574">
        <v>0.3</v>
      </c>
      <c r="M39" s="2550">
        <v>0</v>
      </c>
      <c r="N39" s="2551">
        <v>0</v>
      </c>
      <c r="O39" s="3339"/>
      <c r="P39" s="2552">
        <v>14389224</v>
      </c>
      <c r="Q39" s="2556">
        <v>14389224</v>
      </c>
      <c r="R39" s="2552">
        <v>0</v>
      </c>
      <c r="S39" s="2552">
        <v>0</v>
      </c>
      <c r="T39" s="2553">
        <f t="shared" si="4"/>
        <v>0</v>
      </c>
      <c r="U39" s="2553">
        <f t="shared" si="4"/>
        <v>0</v>
      </c>
      <c r="V39" s="2554"/>
      <c r="W39" s="2554"/>
      <c r="X39" s="2547"/>
      <c r="Y39" s="3338"/>
    </row>
    <row r="40" spans="1:25" ht="15.6">
      <c r="A40" s="2542"/>
      <c r="B40" s="2527">
        <v>5403</v>
      </c>
      <c r="C40" s="2531" t="s">
        <v>115</v>
      </c>
      <c r="D40" s="2533" t="s">
        <v>535</v>
      </c>
      <c r="E40" s="2526"/>
      <c r="F40" s="2526"/>
      <c r="G40" s="2529"/>
      <c r="H40" s="2526"/>
      <c r="I40" s="2533"/>
      <c r="J40" s="2533"/>
      <c r="K40" s="2561"/>
      <c r="L40" s="2562"/>
      <c r="M40" s="2563"/>
      <c r="N40" s="2562"/>
      <c r="O40" s="2596"/>
      <c r="P40" s="2530"/>
      <c r="Q40" s="2563"/>
      <c r="R40" s="2563"/>
      <c r="S40" s="2563"/>
      <c r="T40" s="2565"/>
      <c r="U40" s="2565"/>
      <c r="V40" s="2566"/>
      <c r="W40" s="2566"/>
      <c r="X40" s="2533"/>
      <c r="Y40" s="2530"/>
    </row>
    <row r="41" spans="1:25" ht="15.6">
      <c r="A41" s="2530"/>
      <c r="B41" s="2535">
        <v>5403001</v>
      </c>
      <c r="C41" s="2536" t="s">
        <v>116</v>
      </c>
      <c r="D41" s="2541" t="s">
        <v>536</v>
      </c>
      <c r="E41" s="2534"/>
      <c r="F41" s="2534"/>
      <c r="G41" s="2537"/>
      <c r="H41" s="2534"/>
      <c r="I41" s="2541"/>
      <c r="J41" s="2541"/>
      <c r="K41" s="2567"/>
      <c r="L41" s="2568"/>
      <c r="M41" s="2569"/>
      <c r="N41" s="2568"/>
      <c r="O41" s="2576"/>
      <c r="P41" s="2576"/>
      <c r="Q41" s="2569"/>
      <c r="R41" s="2569"/>
      <c r="S41" s="2569"/>
      <c r="T41" s="2571"/>
      <c r="U41" s="2571"/>
      <c r="V41" s="2572"/>
      <c r="W41" s="2572"/>
      <c r="X41" s="2541"/>
      <c r="Y41" s="2538"/>
    </row>
    <row r="42" spans="1:25">
      <c r="A42" s="2538"/>
      <c r="B42" s="2543">
        <v>54030010001</v>
      </c>
      <c r="C42" s="2557" t="s">
        <v>117</v>
      </c>
      <c r="D42" s="2558" t="s">
        <v>5125</v>
      </c>
      <c r="E42" s="2575">
        <v>0.3</v>
      </c>
      <c r="F42" s="2575"/>
      <c r="G42" s="2546"/>
      <c r="H42" s="2575"/>
      <c r="I42" s="2547"/>
      <c r="J42" s="2547"/>
      <c r="K42" s="2550"/>
      <c r="L42" s="2574"/>
      <c r="M42" s="2552"/>
      <c r="N42" s="2551"/>
      <c r="O42" s="2577"/>
      <c r="P42" s="2549"/>
      <c r="Q42" s="2552"/>
      <c r="R42" s="2552"/>
      <c r="S42" s="2552"/>
      <c r="T42" s="2559"/>
      <c r="U42" s="2559"/>
      <c r="V42" s="2554"/>
      <c r="W42" s="2554"/>
      <c r="X42" s="2547"/>
      <c r="Y42" s="2549"/>
    </row>
    <row r="43" spans="1:25">
      <c r="A43" s="3342">
        <v>4173</v>
      </c>
      <c r="B43" s="3345"/>
      <c r="C43" s="3342" t="s">
        <v>502</v>
      </c>
      <c r="D43" s="3338" t="s">
        <v>5126</v>
      </c>
      <c r="E43" s="2545" t="s">
        <v>5127</v>
      </c>
      <c r="F43" s="2575"/>
      <c r="G43" s="2546"/>
      <c r="H43" s="2518"/>
      <c r="I43" s="2547"/>
      <c r="J43" s="2551"/>
      <c r="K43" s="2549"/>
      <c r="L43" s="2574">
        <f>SUM(L44:L46)</f>
        <v>1</v>
      </c>
      <c r="M43" s="2552"/>
      <c r="N43" s="2551">
        <f>+N44+N45+N46</f>
        <v>0.26013513513513514</v>
      </c>
      <c r="O43" s="3339">
        <f>IF(Q43&gt;0,N43,"na")</f>
        <v>0.26013513513513514</v>
      </c>
      <c r="P43" s="2552">
        <f>SUM(P44:P46)</f>
        <v>3290000000</v>
      </c>
      <c r="Q43" s="2552">
        <f>SUM(Q44:Q46)</f>
        <v>3290000000</v>
      </c>
      <c r="R43" s="2552">
        <f>SUM(R44:R46)</f>
        <v>850166134</v>
      </c>
      <c r="S43" s="2552">
        <f>SUM(S44:S46)</f>
        <v>305273000</v>
      </c>
      <c r="T43" s="2555">
        <f t="shared" ref="T43:U46" si="5">IF(Q43=0,0,R43/Q43)</f>
        <v>0.25840915927051672</v>
      </c>
      <c r="U43" s="2555">
        <f t="shared" si="5"/>
        <v>0.35907452413295021</v>
      </c>
      <c r="V43" s="2554"/>
      <c r="W43" s="2554"/>
      <c r="X43" s="2547"/>
      <c r="Y43" s="3338" t="s">
        <v>5072</v>
      </c>
    </row>
    <row r="44" spans="1:25" ht="92.4">
      <c r="A44" s="3343"/>
      <c r="B44" s="3346"/>
      <c r="C44" s="3343"/>
      <c r="D44" s="3338"/>
      <c r="E44" s="2545" t="s">
        <v>5128</v>
      </c>
      <c r="F44" s="2575"/>
      <c r="G44" s="2546" t="s">
        <v>5125</v>
      </c>
      <c r="H44" s="2518"/>
      <c r="I44" s="2547" t="s">
        <v>5129</v>
      </c>
      <c r="J44" s="2547" t="s">
        <v>3839</v>
      </c>
      <c r="K44" s="2549">
        <v>37</v>
      </c>
      <c r="L44" s="2574">
        <v>0.5</v>
      </c>
      <c r="M44" s="2549">
        <v>10</v>
      </c>
      <c r="N44" s="2555">
        <f>L44/K44*M44</f>
        <v>0.13513513513513514</v>
      </c>
      <c r="O44" s="3339"/>
      <c r="P44" s="2552">
        <v>2543141840</v>
      </c>
      <c r="Q44" s="2556">
        <v>2543141840</v>
      </c>
      <c r="R44" s="2552">
        <v>595521134</v>
      </c>
      <c r="S44" s="2552">
        <v>216219000</v>
      </c>
      <c r="T44" s="2555">
        <f>IF(Q44=0,0,R44/Q44)</f>
        <v>0.23416748709541108</v>
      </c>
      <c r="U44" s="2555">
        <f>IF(R44=0,0,S44/R44)</f>
        <v>0.36307527584738913</v>
      </c>
      <c r="V44" s="2554">
        <v>45306</v>
      </c>
      <c r="W44" s="2554">
        <v>45657</v>
      </c>
      <c r="X44" s="2547" t="s">
        <v>5130</v>
      </c>
      <c r="Y44" s="3338"/>
    </row>
    <row r="45" spans="1:25" ht="79.2">
      <c r="A45" s="3343"/>
      <c r="B45" s="3346"/>
      <c r="C45" s="3343"/>
      <c r="D45" s="3338"/>
      <c r="E45" s="2545" t="s">
        <v>5131</v>
      </c>
      <c r="F45" s="2575"/>
      <c r="G45" s="2546" t="s">
        <v>5125</v>
      </c>
      <c r="H45" s="2518"/>
      <c r="I45" s="2547" t="s">
        <v>5132</v>
      </c>
      <c r="J45" s="2547" t="s">
        <v>135</v>
      </c>
      <c r="K45" s="2549">
        <v>19</v>
      </c>
      <c r="L45" s="2574">
        <v>0.25</v>
      </c>
      <c r="M45" s="2549">
        <v>0</v>
      </c>
      <c r="N45" s="2555">
        <v>6.25E-2</v>
      </c>
      <c r="O45" s="3339"/>
      <c r="P45" s="2552">
        <v>527990280</v>
      </c>
      <c r="Q45" s="2556">
        <v>527990280</v>
      </c>
      <c r="R45" s="2552">
        <v>192193000</v>
      </c>
      <c r="S45" s="2552">
        <v>64485000</v>
      </c>
      <c r="T45" s="2555">
        <f t="shared" si="5"/>
        <v>0.36400859500671112</v>
      </c>
      <c r="U45" s="2555">
        <f t="shared" si="5"/>
        <v>0.33552210538365079</v>
      </c>
      <c r="V45" s="2554">
        <v>45306</v>
      </c>
      <c r="W45" s="2554">
        <v>45657</v>
      </c>
      <c r="X45" s="2547" t="s">
        <v>5133</v>
      </c>
      <c r="Y45" s="3338"/>
    </row>
    <row r="46" spans="1:25" ht="79.2">
      <c r="A46" s="3344"/>
      <c r="B46" s="3347"/>
      <c r="C46" s="3344"/>
      <c r="D46" s="3338"/>
      <c r="E46" s="2545" t="s">
        <v>5134</v>
      </c>
      <c r="F46" s="2575"/>
      <c r="G46" s="2546" t="s">
        <v>5125</v>
      </c>
      <c r="H46" s="2518"/>
      <c r="I46" s="2547" t="s">
        <v>5135</v>
      </c>
      <c r="J46" s="2547" t="s">
        <v>138</v>
      </c>
      <c r="K46" s="2549">
        <v>1</v>
      </c>
      <c r="L46" s="2574">
        <v>0.25</v>
      </c>
      <c r="M46" s="2549">
        <v>0</v>
      </c>
      <c r="N46" s="2555">
        <v>6.25E-2</v>
      </c>
      <c r="O46" s="3339"/>
      <c r="P46" s="2552">
        <v>218867880</v>
      </c>
      <c r="Q46" s="2552">
        <v>218867880</v>
      </c>
      <c r="R46" s="2552">
        <v>62452000</v>
      </c>
      <c r="S46" s="2552">
        <v>24569000</v>
      </c>
      <c r="T46" s="2555">
        <f t="shared" si="5"/>
        <v>0.28534109253491191</v>
      </c>
      <c r="U46" s="2555">
        <f t="shared" si="5"/>
        <v>0.39340613591238072</v>
      </c>
      <c r="V46" s="2554">
        <v>45306</v>
      </c>
      <c r="W46" s="2554">
        <v>45657</v>
      </c>
      <c r="X46" s="2547" t="s">
        <v>5136</v>
      </c>
      <c r="Y46" s="3338"/>
    </row>
    <row r="47" spans="1:25" ht="27.6">
      <c r="A47" s="2542"/>
      <c r="B47" s="2543">
        <v>54030010005</v>
      </c>
      <c r="C47" s="2557" t="s">
        <v>117</v>
      </c>
      <c r="D47" s="2558" t="s">
        <v>5137</v>
      </c>
      <c r="E47" s="2545"/>
      <c r="F47" s="2519"/>
      <c r="G47" s="2546"/>
      <c r="H47" s="2575"/>
      <c r="I47" s="2547"/>
      <c r="J47" s="2547"/>
      <c r="K47" s="2550"/>
      <c r="L47" s="2551"/>
      <c r="M47" s="2552"/>
      <c r="N47" s="2551"/>
      <c r="O47" s="2555"/>
      <c r="P47" s="2549"/>
      <c r="Q47" s="2552"/>
      <c r="R47" s="2552"/>
      <c r="S47" s="2552"/>
      <c r="T47" s="2559"/>
      <c r="U47" s="2559"/>
      <c r="V47" s="2554"/>
      <c r="W47" s="2554"/>
      <c r="X47" s="2547"/>
      <c r="Y47" s="2549"/>
    </row>
    <row r="48" spans="1:25">
      <c r="A48" s="3342">
        <v>4173</v>
      </c>
      <c r="B48" s="3345"/>
      <c r="C48" s="3342" t="s">
        <v>502</v>
      </c>
      <c r="D48" s="3338" t="s">
        <v>5138</v>
      </c>
      <c r="E48" s="2545" t="s">
        <v>5139</v>
      </c>
      <c r="F48" s="2545"/>
      <c r="G48" s="2546"/>
      <c r="H48" s="2519"/>
      <c r="I48" s="2547"/>
      <c r="J48" s="2547"/>
      <c r="K48" s="2549">
        <f>K49</f>
        <v>524</v>
      </c>
      <c r="L48" s="2551">
        <f>SUM(L49:L50)</f>
        <v>1</v>
      </c>
      <c r="M48" s="2552">
        <v>524</v>
      </c>
      <c r="N48" s="2555">
        <f>+N49+N50</f>
        <v>0.1916816344858554</v>
      </c>
      <c r="O48" s="3339">
        <f>IF(Q48&gt;0,N48,"na")</f>
        <v>0.1916816344858554</v>
      </c>
      <c r="P48" s="2552">
        <f>SUM(P49:P50)</f>
        <v>1800000000</v>
      </c>
      <c r="Q48" s="2552">
        <f>SUM(Q49:Q50)</f>
        <v>1800000000</v>
      </c>
      <c r="R48" s="2552">
        <f>SUM(R49:R50)</f>
        <v>414304000</v>
      </c>
      <c r="S48" s="2552">
        <f>SUM(S49:S50)</f>
        <v>181693000</v>
      </c>
      <c r="T48" s="2553">
        <f t="shared" ref="T48:U50" si="6">IF(Q48=0,0,R48/Q48)</f>
        <v>0.2301688888888889</v>
      </c>
      <c r="U48" s="2553">
        <f t="shared" si="6"/>
        <v>0.43854995365721788</v>
      </c>
      <c r="V48" s="2554"/>
      <c r="W48" s="2554"/>
      <c r="X48" s="2547"/>
      <c r="Y48" s="3338" t="s">
        <v>5072</v>
      </c>
    </row>
    <row r="49" spans="1:25" ht="105.6">
      <c r="A49" s="3343"/>
      <c r="B49" s="3346"/>
      <c r="C49" s="3343"/>
      <c r="D49" s="3338"/>
      <c r="E49" s="2545" t="s">
        <v>5140</v>
      </c>
      <c r="F49" s="2545"/>
      <c r="G49" s="2546" t="s">
        <v>5137</v>
      </c>
      <c r="H49" s="2519"/>
      <c r="I49" s="2547" t="s">
        <v>5141</v>
      </c>
      <c r="J49" s="2547" t="s">
        <v>3839</v>
      </c>
      <c r="K49" s="2549">
        <v>524</v>
      </c>
      <c r="L49" s="2551">
        <v>0.5</v>
      </c>
      <c r="M49" s="2552">
        <v>93</v>
      </c>
      <c r="N49" s="2555">
        <f>L49/K49*M49</f>
        <v>8.8740458015267171E-2</v>
      </c>
      <c r="O49" s="3339"/>
      <c r="P49" s="2552">
        <v>443052000</v>
      </c>
      <c r="Q49" s="2552">
        <v>443052000</v>
      </c>
      <c r="R49" s="2552">
        <v>99846000</v>
      </c>
      <c r="S49" s="2552">
        <v>50396000</v>
      </c>
      <c r="T49" s="2553">
        <f t="shared" si="6"/>
        <v>0.22535955147477046</v>
      </c>
      <c r="U49" s="2553">
        <f t="shared" si="6"/>
        <v>0.50473729543496981</v>
      </c>
      <c r="V49" s="2554">
        <v>45306</v>
      </c>
      <c r="W49" s="2554">
        <v>45657</v>
      </c>
      <c r="X49" s="2547" t="s">
        <v>5142</v>
      </c>
      <c r="Y49" s="3338"/>
    </row>
    <row r="50" spans="1:25" ht="79.2">
      <c r="A50" s="3344"/>
      <c r="B50" s="3347"/>
      <c r="C50" s="3344"/>
      <c r="D50" s="3338"/>
      <c r="E50" s="2545" t="s">
        <v>5143</v>
      </c>
      <c r="F50" s="2545"/>
      <c r="G50" s="2578"/>
      <c r="H50" s="2545"/>
      <c r="I50" s="2547" t="s">
        <v>5144</v>
      </c>
      <c r="J50" s="2547" t="s">
        <v>120</v>
      </c>
      <c r="K50" s="2549">
        <v>3162</v>
      </c>
      <c r="L50" s="2551">
        <v>0.5</v>
      </c>
      <c r="M50" s="2552">
        <v>651</v>
      </c>
      <c r="N50" s="2555">
        <f>L50/K50*M50</f>
        <v>0.10294117647058823</v>
      </c>
      <c r="O50" s="3339"/>
      <c r="P50" s="2552">
        <v>1356948000</v>
      </c>
      <c r="Q50" s="2552">
        <v>1356948000</v>
      </c>
      <c r="R50" s="2552">
        <v>314458000</v>
      </c>
      <c r="S50" s="2552">
        <v>131297000</v>
      </c>
      <c r="T50" s="2553">
        <f t="shared" si="6"/>
        <v>0.23173916760259053</v>
      </c>
      <c r="U50" s="2553">
        <f t="shared" si="6"/>
        <v>0.41753429710803985</v>
      </c>
      <c r="V50" s="2554">
        <v>45306</v>
      </c>
      <c r="W50" s="2554">
        <v>45657</v>
      </c>
      <c r="X50" s="2547" t="s">
        <v>5145</v>
      </c>
      <c r="Y50" s="3338"/>
    </row>
    <row r="51" spans="1:25" ht="27.6">
      <c r="A51" s="2542"/>
      <c r="B51" s="2543">
        <v>54030020002</v>
      </c>
      <c r="C51" s="2557" t="s">
        <v>117</v>
      </c>
      <c r="D51" s="2558" t="s">
        <v>5146</v>
      </c>
      <c r="E51" s="2545"/>
      <c r="F51" s="2545"/>
      <c r="G51" s="2546"/>
      <c r="H51" s="2545"/>
      <c r="I51" s="2547"/>
      <c r="J51" s="2547"/>
      <c r="K51" s="2549"/>
      <c r="L51" s="2551"/>
      <c r="M51" s="2552"/>
      <c r="N51" s="2551"/>
      <c r="O51" s="2555"/>
      <c r="P51" s="2552"/>
      <c r="Q51" s="2552"/>
      <c r="R51" s="2552"/>
      <c r="S51" s="2552"/>
      <c r="T51" s="2559"/>
      <c r="U51" s="2559"/>
      <c r="V51" s="2554"/>
      <c r="W51" s="2554"/>
      <c r="X51" s="2547"/>
      <c r="Y51" s="2547"/>
    </row>
    <row r="52" spans="1:25">
      <c r="A52" s="3342">
        <v>4173</v>
      </c>
      <c r="B52" s="3345"/>
      <c r="C52" s="3342" t="s">
        <v>502</v>
      </c>
      <c r="D52" s="3338" t="s">
        <v>5147</v>
      </c>
      <c r="E52" s="2545" t="s">
        <v>5148</v>
      </c>
      <c r="F52" s="2545"/>
      <c r="G52" s="2546"/>
      <c r="H52" s="3338"/>
      <c r="I52" s="2547"/>
      <c r="J52" s="2547"/>
      <c r="K52" s="2549"/>
      <c r="L52" s="2574">
        <f>SUM(L53)</f>
        <v>1</v>
      </c>
      <c r="M52" s="2552"/>
      <c r="N52" s="2551">
        <f>SUM(N53)</f>
        <v>0.224</v>
      </c>
      <c r="O52" s="3339">
        <f>IF(Q52&gt;0,N52,"na")</f>
        <v>0.224</v>
      </c>
      <c r="P52" s="2552">
        <f>SUM(P53)</f>
        <v>80000000</v>
      </c>
      <c r="Q52" s="2552">
        <f>SUM(Q53)</f>
        <v>80000000</v>
      </c>
      <c r="R52" s="2552">
        <f>SUM(R53)</f>
        <v>24252000</v>
      </c>
      <c r="S52" s="2552">
        <f>SUM(S53)</f>
        <v>3646000</v>
      </c>
      <c r="T52" s="2553">
        <f>IF(Q52=0,0,R52/Q52)</f>
        <v>0.30314999999999998</v>
      </c>
      <c r="U52" s="2553">
        <f>IF(R52=0,0,S52/R52)</f>
        <v>0.1503381164440046</v>
      </c>
      <c r="V52" s="2554"/>
      <c r="W52" s="2554"/>
      <c r="X52" s="2547"/>
      <c r="Y52" s="3338" t="s">
        <v>5072</v>
      </c>
    </row>
    <row r="53" spans="1:25" ht="105.6">
      <c r="A53" s="3348"/>
      <c r="B53" s="3349"/>
      <c r="C53" s="3348"/>
      <c r="D53" s="3340"/>
      <c r="E53" s="2579" t="s">
        <v>5149</v>
      </c>
      <c r="F53" s="2579"/>
      <c r="G53" s="2580" t="s">
        <v>5150</v>
      </c>
      <c r="H53" s="3340"/>
      <c r="I53" s="2581" t="s">
        <v>5151</v>
      </c>
      <c r="J53" s="2581" t="s">
        <v>120</v>
      </c>
      <c r="K53" s="2582">
        <v>500</v>
      </c>
      <c r="L53" s="2583">
        <v>1</v>
      </c>
      <c r="M53" s="2582">
        <v>112</v>
      </c>
      <c r="N53" s="2595">
        <v>0.224</v>
      </c>
      <c r="O53" s="3341"/>
      <c r="P53" s="2584">
        <v>80000000</v>
      </c>
      <c r="Q53" s="2584">
        <v>80000000</v>
      </c>
      <c r="R53" s="2584">
        <v>24252000</v>
      </c>
      <c r="S53" s="2584">
        <v>3646000</v>
      </c>
      <c r="T53" s="2585">
        <f>IF(Q53=0,0,R53/Q53)</f>
        <v>0.30314999999999998</v>
      </c>
      <c r="U53" s="2585">
        <f>IF(R53=0,0,S53/R53)</f>
        <v>0.1503381164440046</v>
      </c>
      <c r="V53" s="2586">
        <v>45323</v>
      </c>
      <c r="W53" s="2586">
        <v>45657</v>
      </c>
      <c r="X53" s="2581" t="s">
        <v>5152</v>
      </c>
      <c r="Y53" s="3340"/>
    </row>
    <row r="54" spans="1:25">
      <c r="A54" s="2587"/>
      <c r="B54" s="2588"/>
      <c r="C54" s="2587"/>
      <c r="D54" s="2589"/>
      <c r="E54" s="2587"/>
      <c r="F54" s="2590"/>
      <c r="G54" s="2590"/>
      <c r="H54" s="2590"/>
      <c r="I54" s="2590"/>
      <c r="J54" s="2587"/>
      <c r="K54" s="2589"/>
      <c r="L54" s="2589"/>
      <c r="M54" s="2590"/>
      <c r="N54" s="2590"/>
      <c r="O54" s="2590"/>
      <c r="P54" s="2590"/>
      <c r="Q54" s="2590"/>
      <c r="R54" s="2590"/>
      <c r="S54" s="2590"/>
      <c r="T54" s="2590"/>
      <c r="U54" s="2590"/>
      <c r="V54" s="2590"/>
      <c r="W54" s="2590"/>
      <c r="X54" s="2591"/>
      <c r="Y54" s="2591"/>
    </row>
    <row r="55" spans="1:25" s="46" customFormat="1">
      <c r="A55" s="517"/>
      <c r="B55" s="524" t="s">
        <v>50</v>
      </c>
      <c r="C55" s="517">
        <f>COUNTIF($C7:$C53,"Pr")</f>
        <v>9</v>
      </c>
      <c r="D55" s="518"/>
      <c r="E55" s="416" t="s">
        <v>126</v>
      </c>
      <c r="F55" s="416"/>
      <c r="G55" s="517">
        <f>COUNTIF(O7:O53,"na")</f>
        <v>0</v>
      </c>
      <c r="H55" s="416"/>
      <c r="I55" s="416"/>
      <c r="J55" s="517"/>
      <c r="K55" s="518"/>
      <c r="L55" s="518"/>
      <c r="M55" s="416"/>
      <c r="N55" s="517" t="s">
        <v>127</v>
      </c>
      <c r="O55" s="520">
        <f>AVERAGE(O11:O53)</f>
        <v>0.16031297440233228</v>
      </c>
      <c r="P55" s="521">
        <f ca="1">SUMIF($C7:$C57,"Pr",P7:P53)</f>
        <v>13117917069</v>
      </c>
      <c r="Q55" s="521">
        <f>SUMIF($C7:$C53,"Pr",Q7:Q53)</f>
        <v>13117917069</v>
      </c>
      <c r="R55" s="521">
        <f ca="1">SUMIF($C7:$C57,"Pr",R7:R53)</f>
        <v>3292206134</v>
      </c>
      <c r="S55" s="521">
        <f ca="1">SUMIF($C7:$C57,"Pr",S7:S53)</f>
        <v>1383705000</v>
      </c>
      <c r="T55" s="522">
        <f ca="1">IF(Q55=0,0,R55/Q55)</f>
        <v>0.25097018960274387</v>
      </c>
      <c r="U55" s="522">
        <f ca="1">IF(R55=0,0,S55/R55)</f>
        <v>0.42029719394235232</v>
      </c>
      <c r="V55" s="416"/>
      <c r="W55" s="416"/>
      <c r="X55" s="519"/>
      <c r="Y55" s="519"/>
    </row>
    <row r="56" spans="1:25" s="46" customFormat="1">
      <c r="A56" s="517"/>
      <c r="B56" s="2594"/>
      <c r="C56" s="517"/>
      <c r="D56" s="518"/>
      <c r="E56" s="517"/>
      <c r="F56" s="416"/>
      <c r="G56" s="416"/>
      <c r="H56" s="416"/>
      <c r="I56" s="416"/>
      <c r="J56" s="517"/>
      <c r="K56" s="518"/>
      <c r="L56" s="518"/>
      <c r="M56" s="518"/>
      <c r="N56" s="523" t="s">
        <v>133</v>
      </c>
      <c r="O56" s="524">
        <f>COUNTIF(O11:O53,"=0%")</f>
        <v>1</v>
      </c>
      <c r="P56" s="521">
        <v>13117917069</v>
      </c>
      <c r="Q56" s="521">
        <v>13117917069</v>
      </c>
      <c r="R56" s="521">
        <v>3292206134</v>
      </c>
      <c r="S56" s="521">
        <v>1383705000</v>
      </c>
      <c r="T56" s="416"/>
      <c r="U56" s="416"/>
      <c r="V56" s="416"/>
      <c r="W56" s="416"/>
      <c r="X56" s="416"/>
      <c r="Y56" s="519"/>
    </row>
  </sheetData>
  <autoFilter ref="A5:Y6" xr:uid="{00000000-0009-0000-0000-000019000000}"/>
  <mergeCells count="89">
    <mergeCell ref="A52:A53"/>
    <mergeCell ref="B52:B53"/>
    <mergeCell ref="C52:C53"/>
    <mergeCell ref="A43:A46"/>
    <mergeCell ref="B43:B46"/>
    <mergeCell ref="C43:C46"/>
    <mergeCell ref="A48:A50"/>
    <mergeCell ref="B48:B50"/>
    <mergeCell ref="C48:C50"/>
    <mergeCell ref="A32:A34"/>
    <mergeCell ref="B32:B34"/>
    <mergeCell ref="C32:C34"/>
    <mergeCell ref="A37:A39"/>
    <mergeCell ref="B37:B39"/>
    <mergeCell ref="C37:C39"/>
    <mergeCell ref="A18:A19"/>
    <mergeCell ref="B18:B19"/>
    <mergeCell ref="C18:C19"/>
    <mergeCell ref="A24:A28"/>
    <mergeCell ref="B24:B28"/>
    <mergeCell ref="C24:C28"/>
    <mergeCell ref="A11:A13"/>
    <mergeCell ref="B11:B13"/>
    <mergeCell ref="A15:A17"/>
    <mergeCell ref="B15:B17"/>
    <mergeCell ref="C15:C17"/>
    <mergeCell ref="D52:D53"/>
    <mergeCell ref="H52:H53"/>
    <mergeCell ref="O52:O53"/>
    <mergeCell ref="Y52:Y53"/>
    <mergeCell ref="C11:C13"/>
    <mergeCell ref="D43:D46"/>
    <mergeCell ref="O43:O46"/>
    <mergeCell ref="Y43:Y46"/>
    <mergeCell ref="D48:D50"/>
    <mergeCell ref="O48:O50"/>
    <mergeCell ref="Y48:Y50"/>
    <mergeCell ref="D32:D34"/>
    <mergeCell ref="O32:O34"/>
    <mergeCell ref="Y32:Y34"/>
    <mergeCell ref="D37:D39"/>
    <mergeCell ref="O37:O39"/>
    <mergeCell ref="Y37:Y39"/>
    <mergeCell ref="D18:D19"/>
    <mergeCell ref="O18:O19"/>
    <mergeCell ref="Y18:Y19"/>
    <mergeCell ref="D24:D28"/>
    <mergeCell ref="O24:O28"/>
    <mergeCell ref="Y24:Y28"/>
    <mergeCell ref="G27:G28"/>
    <mergeCell ref="D11:D13"/>
    <mergeCell ref="O11:O13"/>
    <mergeCell ref="Y11:Y13"/>
    <mergeCell ref="G12:G13"/>
    <mergeCell ref="D15:D17"/>
    <mergeCell ref="O15:O17"/>
    <mergeCell ref="Y15:Y17"/>
    <mergeCell ref="A1:X1"/>
    <mergeCell ref="O5:O6"/>
    <mergeCell ref="P5:P6"/>
    <mergeCell ref="I5:I6"/>
    <mergeCell ref="J5:J6"/>
    <mergeCell ref="M5:M6"/>
    <mergeCell ref="A4:Y4"/>
    <mergeCell ref="A5:A6"/>
    <mergeCell ref="B5:B6"/>
    <mergeCell ref="C5:C6"/>
    <mergeCell ref="X5:X6"/>
    <mergeCell ref="Y5:Y6"/>
    <mergeCell ref="S5:S6"/>
    <mergeCell ref="T5:T6"/>
    <mergeCell ref="U5:U6"/>
    <mergeCell ref="V5:V6"/>
    <mergeCell ref="A2:Y2"/>
    <mergeCell ref="A3:B3"/>
    <mergeCell ref="C3:R3"/>
    <mergeCell ref="S3:U3"/>
    <mergeCell ref="V3:W3"/>
    <mergeCell ref="N5:N6"/>
    <mergeCell ref="W5:W6"/>
    <mergeCell ref="D5:D6"/>
    <mergeCell ref="E5:E6"/>
    <mergeCell ref="F5:F6"/>
    <mergeCell ref="Q5:Q6"/>
    <mergeCell ref="G5:G6"/>
    <mergeCell ref="H5:H6"/>
    <mergeCell ref="R5:R6"/>
    <mergeCell ref="K5:K6"/>
    <mergeCell ref="L5:L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Y29"/>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6" width="12.44140625" style="2" customWidth="1"/>
    <col min="7"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18" width="12.6640625" style="3" customWidth="1"/>
    <col min="19" max="19" width="14.44140625" style="3" customWidth="1"/>
    <col min="20"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63" customFormat="1" ht="24.9" customHeight="1">
      <c r="A3" s="3021" t="s">
        <v>269</v>
      </c>
      <c r="B3" s="3021"/>
      <c r="C3" s="3021" t="s">
        <v>279</v>
      </c>
      <c r="D3" s="3021"/>
      <c r="E3" s="3021"/>
      <c r="F3" s="3021"/>
      <c r="G3" s="3021"/>
      <c r="H3" s="3021"/>
      <c r="I3" s="3021"/>
      <c r="J3" s="3021"/>
      <c r="K3" s="3021"/>
      <c r="L3" s="3021"/>
      <c r="M3" s="3021"/>
      <c r="N3" s="3021"/>
      <c r="O3" s="3021"/>
      <c r="P3" s="3021"/>
      <c r="Q3" s="3021"/>
      <c r="R3" s="3021"/>
      <c r="S3" s="3021"/>
      <c r="T3" s="2876" t="s">
        <v>17</v>
      </c>
      <c r="U3" s="2876"/>
      <c r="V3" s="2877">
        <v>45382</v>
      </c>
      <c r="W3" s="2876"/>
      <c r="X3" s="41" t="s">
        <v>5</v>
      </c>
      <c r="Y3" s="43">
        <v>2024</v>
      </c>
    </row>
    <row r="4" spans="1:25" s="58" customFormat="1" ht="25.5" customHeight="1">
      <c r="A4" s="3350"/>
      <c r="B4" s="3350"/>
      <c r="C4" s="3350"/>
      <c r="D4" s="3350"/>
      <c r="E4" s="3350"/>
      <c r="F4" s="3350"/>
      <c r="G4" s="3350"/>
      <c r="H4" s="3350"/>
      <c r="I4" s="3350"/>
      <c r="J4" s="3350"/>
      <c r="K4" s="3350"/>
      <c r="L4" s="3350"/>
      <c r="M4" s="3350"/>
      <c r="N4" s="3350"/>
      <c r="O4" s="3350"/>
      <c r="P4" s="3350"/>
      <c r="Q4" s="3350"/>
      <c r="R4" s="3350"/>
      <c r="S4" s="3350"/>
      <c r="T4" s="3350"/>
      <c r="U4" s="3350"/>
      <c r="V4" s="3350"/>
      <c r="W4" s="3350"/>
      <c r="X4" s="3350"/>
    </row>
    <row r="5" spans="1:25" s="58" customFormat="1" ht="53.25" customHeight="1">
      <c r="A5" s="2869" t="s">
        <v>88</v>
      </c>
      <c r="B5" s="2869" t="s">
        <v>4</v>
      </c>
      <c r="C5" s="2869" t="s">
        <v>3</v>
      </c>
      <c r="D5" s="2869" t="s">
        <v>108</v>
      </c>
      <c r="E5" s="2869" t="s">
        <v>2</v>
      </c>
      <c r="F5" s="2869" t="s">
        <v>89</v>
      </c>
      <c r="G5" s="2869" t="s">
        <v>106</v>
      </c>
      <c r="H5" s="2869" t="s">
        <v>107</v>
      </c>
      <c r="I5" s="2869" t="s">
        <v>8</v>
      </c>
      <c r="J5" s="2869" t="s">
        <v>9</v>
      </c>
      <c r="K5" s="2869" t="s">
        <v>10</v>
      </c>
      <c r="L5" s="3065" t="s">
        <v>11</v>
      </c>
      <c r="M5" s="2867" t="s">
        <v>100</v>
      </c>
      <c r="N5" s="3063" t="s">
        <v>12</v>
      </c>
      <c r="O5" s="3063" t="s">
        <v>86</v>
      </c>
      <c r="P5" s="3064" t="s">
        <v>1</v>
      </c>
      <c r="Q5" s="3063" t="s">
        <v>13</v>
      </c>
      <c r="R5" s="3063" t="s">
        <v>14</v>
      </c>
      <c r="S5" s="3063" t="s">
        <v>16</v>
      </c>
      <c r="T5" s="3063" t="s">
        <v>15</v>
      </c>
      <c r="U5" s="3063" t="s">
        <v>103</v>
      </c>
      <c r="V5" s="3064" t="s">
        <v>6</v>
      </c>
      <c r="W5" s="3064" t="s">
        <v>7</v>
      </c>
      <c r="X5" s="3063" t="s">
        <v>0</v>
      </c>
      <c r="Y5" s="2908" t="s">
        <v>90</v>
      </c>
    </row>
    <row r="6" spans="1:25" s="58" customFormat="1" ht="42.75" customHeight="1">
      <c r="A6" s="2869"/>
      <c r="B6" s="2869"/>
      <c r="C6" s="2869"/>
      <c r="D6" s="2869"/>
      <c r="E6" s="2869"/>
      <c r="F6" s="2869"/>
      <c r="G6" s="2869"/>
      <c r="H6" s="2869"/>
      <c r="I6" s="2869"/>
      <c r="J6" s="2869"/>
      <c r="K6" s="2869"/>
      <c r="L6" s="3025"/>
      <c r="M6" s="2867"/>
      <c r="N6" s="3012"/>
      <c r="O6" s="3012"/>
      <c r="P6" s="3017"/>
      <c r="Q6" s="3012"/>
      <c r="R6" s="3012"/>
      <c r="S6" s="3012"/>
      <c r="T6" s="3012"/>
      <c r="U6" s="3012"/>
      <c r="V6" s="3017"/>
      <c r="W6" s="3017"/>
      <c r="X6" s="3012"/>
      <c r="Y6" s="3023"/>
    </row>
    <row r="7" spans="1:25" ht="15.6">
      <c r="A7" s="2629"/>
      <c r="B7" s="2630">
        <v>54</v>
      </c>
      <c r="C7" s="2630" t="s">
        <v>114</v>
      </c>
      <c r="D7" s="2631" t="s">
        <v>5153</v>
      </c>
      <c r="E7" s="2632"/>
      <c r="F7" s="2633"/>
      <c r="G7" s="2633"/>
      <c r="H7" s="2633"/>
      <c r="I7" s="2633"/>
      <c r="J7" s="2633"/>
      <c r="K7" s="2633"/>
      <c r="L7" s="2633"/>
      <c r="M7" s="2634"/>
      <c r="N7" s="2632"/>
      <c r="O7" s="2632"/>
      <c r="P7" s="2633"/>
      <c r="Q7" s="2633"/>
      <c r="R7" s="2633"/>
      <c r="S7" s="2633"/>
      <c r="T7" s="2633"/>
      <c r="U7" s="2633"/>
      <c r="V7" s="2633"/>
      <c r="W7" s="2633"/>
      <c r="X7" s="2633"/>
      <c r="Y7" s="2633"/>
    </row>
    <row r="8" spans="1:25" ht="15.6">
      <c r="A8" s="2600"/>
      <c r="B8" s="2598">
        <v>5401</v>
      </c>
      <c r="C8" s="2598" t="s">
        <v>115</v>
      </c>
      <c r="D8" s="2602" t="s">
        <v>134</v>
      </c>
      <c r="E8" s="2599"/>
      <c r="F8" s="2600"/>
      <c r="G8" s="2600"/>
      <c r="H8" s="2600"/>
      <c r="I8" s="2600"/>
      <c r="J8" s="2600"/>
      <c r="K8" s="2600"/>
      <c r="L8" s="2600"/>
      <c r="M8" s="2601"/>
      <c r="N8" s="2603"/>
      <c r="O8" s="2603"/>
      <c r="P8" s="2604"/>
      <c r="Q8" s="2600"/>
      <c r="R8" s="2600"/>
      <c r="S8" s="2600"/>
      <c r="T8" s="2600"/>
      <c r="U8" s="2600"/>
      <c r="V8" s="2600"/>
      <c r="W8" s="2600"/>
      <c r="X8" s="2600"/>
      <c r="Y8" s="2600"/>
    </row>
    <row r="9" spans="1:25">
      <c r="A9" s="2600"/>
      <c r="B9" s="2605">
        <v>5401001</v>
      </c>
      <c r="C9" s="2605" t="s">
        <v>116</v>
      </c>
      <c r="D9" s="2606" t="s">
        <v>202</v>
      </c>
      <c r="E9" s="2599"/>
      <c r="F9" s="2600"/>
      <c r="G9" s="2600"/>
      <c r="H9" s="2600"/>
      <c r="I9" s="2600"/>
      <c r="J9" s="2600"/>
      <c r="K9" s="2600"/>
      <c r="L9" s="2600"/>
      <c r="M9" s="2601"/>
      <c r="N9" s="2603"/>
      <c r="O9" s="2603"/>
      <c r="P9" s="2604"/>
      <c r="Q9" s="2600"/>
      <c r="R9" s="2600"/>
      <c r="S9" s="2600"/>
      <c r="T9" s="2600"/>
      <c r="U9" s="2600"/>
      <c r="V9" s="2600"/>
      <c r="W9" s="2600"/>
      <c r="X9" s="2600"/>
      <c r="Y9" s="2600"/>
    </row>
    <row r="10" spans="1:25">
      <c r="A10" s="2600"/>
      <c r="B10" s="2607">
        <v>54010010003</v>
      </c>
      <c r="C10" s="2607" t="s">
        <v>117</v>
      </c>
      <c r="D10" s="2604" t="s">
        <v>5154</v>
      </c>
      <c r="E10" s="2599"/>
      <c r="F10" s="2608"/>
      <c r="G10" s="2600"/>
      <c r="H10" s="2609"/>
      <c r="I10" s="2600"/>
      <c r="J10" s="2600"/>
      <c r="K10" s="2600"/>
      <c r="L10" s="2600"/>
      <c r="M10" s="2601"/>
      <c r="N10" s="2599"/>
      <c r="O10" s="2599"/>
      <c r="P10" s="2600"/>
      <c r="Q10" s="2600"/>
      <c r="R10" s="2600"/>
      <c r="S10" s="2600"/>
      <c r="T10" s="2600"/>
      <c r="U10" s="2600"/>
      <c r="V10" s="2600"/>
      <c r="W10" s="2600"/>
      <c r="X10" s="2600"/>
      <c r="Y10" s="2600"/>
    </row>
    <row r="11" spans="1:25">
      <c r="A11" s="3352">
        <v>4181</v>
      </c>
      <c r="B11" s="3353"/>
      <c r="C11" s="3353" t="s">
        <v>502</v>
      </c>
      <c r="D11" s="3354" t="s">
        <v>5155</v>
      </c>
      <c r="E11" s="2610" t="s">
        <v>5156</v>
      </c>
      <c r="F11" s="2611"/>
      <c r="G11" s="2611"/>
      <c r="H11" s="2612"/>
      <c r="I11" s="2613"/>
      <c r="J11" s="2613"/>
      <c r="K11" s="2614">
        <f>+K12</f>
        <v>1100</v>
      </c>
      <c r="L11" s="2615">
        <f>SUM(L12:L14)</f>
        <v>1</v>
      </c>
      <c r="M11" s="2601">
        <f>+M12</f>
        <v>0</v>
      </c>
      <c r="N11" s="2653">
        <f>SUM(N12:N14)</f>
        <v>0</v>
      </c>
      <c r="O11" s="2654"/>
      <c r="P11" s="2616">
        <f>SUM(P12:P14)</f>
        <v>1917893488</v>
      </c>
      <c r="Q11" s="2616">
        <f>SUM(Q12:Q14)</f>
        <v>1917893488</v>
      </c>
      <c r="R11" s="2616">
        <f t="shared" ref="R11:S11" si="0">SUM(R12:R14)</f>
        <v>0</v>
      </c>
      <c r="S11" s="2616">
        <f t="shared" si="0"/>
        <v>0</v>
      </c>
      <c r="T11" s="2663">
        <f>IF(Q11=0,0,R11/Q11)</f>
        <v>0</v>
      </c>
      <c r="U11" s="2663">
        <f>IF(R11=0,0,S11/R11)</f>
        <v>0</v>
      </c>
      <c r="V11" s="2617"/>
      <c r="W11" s="2617"/>
      <c r="X11" s="2600"/>
      <c r="Y11" s="2600"/>
    </row>
    <row r="12" spans="1:25" ht="79.2">
      <c r="A12" s="3352"/>
      <c r="B12" s="3353"/>
      <c r="C12" s="3353"/>
      <c r="D12" s="3354"/>
      <c r="E12" s="2610" t="s">
        <v>5157</v>
      </c>
      <c r="F12" s="2611"/>
      <c r="G12" s="2611" t="s">
        <v>5158</v>
      </c>
      <c r="H12" s="2618"/>
      <c r="I12" s="2613" t="s">
        <v>5159</v>
      </c>
      <c r="J12" s="2619" t="s">
        <v>5160</v>
      </c>
      <c r="K12" s="2614">
        <v>1100</v>
      </c>
      <c r="L12" s="2620">
        <v>0.5</v>
      </c>
      <c r="M12" s="2601">
        <v>0</v>
      </c>
      <c r="N12" s="2653">
        <v>0</v>
      </c>
      <c r="O12" s="3356">
        <f>IF(Q11&gt;0,N11,"na")</f>
        <v>0</v>
      </c>
      <c r="P12" s="2621">
        <v>1224754410</v>
      </c>
      <c r="Q12" s="2621">
        <v>1224754410</v>
      </c>
      <c r="R12" s="2616">
        <v>0</v>
      </c>
      <c r="S12" s="2616">
        <v>0</v>
      </c>
      <c r="T12" s="2663">
        <f t="shared" ref="T12:U14" si="1">IF(Q12=0,0,R12/Q12)</f>
        <v>0</v>
      </c>
      <c r="U12" s="2663">
        <f t="shared" si="1"/>
        <v>0</v>
      </c>
      <c r="V12" s="2617"/>
      <c r="W12" s="2617"/>
      <c r="X12" s="2600" t="s">
        <v>5161</v>
      </c>
      <c r="Y12" s="3351" t="s">
        <v>5162</v>
      </c>
    </row>
    <row r="13" spans="1:25" ht="79.2">
      <c r="A13" s="3352"/>
      <c r="B13" s="3353"/>
      <c r="C13" s="3353"/>
      <c r="D13" s="3354"/>
      <c r="E13" s="2610" t="s">
        <v>5163</v>
      </c>
      <c r="F13" s="2613"/>
      <c r="G13" s="2613"/>
      <c r="H13" s="2613"/>
      <c r="I13" s="2613" t="s">
        <v>5164</v>
      </c>
      <c r="J13" s="2619" t="s">
        <v>5165</v>
      </c>
      <c r="K13" s="2613">
        <v>1</v>
      </c>
      <c r="L13" s="2620">
        <v>0.25</v>
      </c>
      <c r="M13" s="2601">
        <v>0</v>
      </c>
      <c r="N13" s="2653">
        <v>0</v>
      </c>
      <c r="O13" s="3356"/>
      <c r="P13" s="2621">
        <v>392151211</v>
      </c>
      <c r="Q13" s="2621">
        <v>392151211</v>
      </c>
      <c r="R13" s="2616">
        <v>0</v>
      </c>
      <c r="S13" s="2616">
        <v>0</v>
      </c>
      <c r="T13" s="2663">
        <f t="shared" si="1"/>
        <v>0</v>
      </c>
      <c r="U13" s="2663">
        <f t="shared" si="1"/>
        <v>0</v>
      </c>
      <c r="V13" s="2617"/>
      <c r="W13" s="2617"/>
      <c r="X13" s="2600" t="s">
        <v>5161</v>
      </c>
      <c r="Y13" s="3351"/>
    </row>
    <row r="14" spans="1:25" ht="79.2">
      <c r="A14" s="3352"/>
      <c r="B14" s="3353"/>
      <c r="C14" s="3353"/>
      <c r="D14" s="3354"/>
      <c r="E14" s="2610" t="s">
        <v>5166</v>
      </c>
      <c r="F14" s="2613"/>
      <c r="G14" s="2613"/>
      <c r="H14" s="2613"/>
      <c r="I14" s="2613" t="s">
        <v>5167</v>
      </c>
      <c r="J14" s="2619" t="s">
        <v>615</v>
      </c>
      <c r="K14" s="2613">
        <v>94</v>
      </c>
      <c r="L14" s="2620">
        <v>0.25</v>
      </c>
      <c r="M14" s="2601">
        <v>0</v>
      </c>
      <c r="N14" s="2653">
        <v>0</v>
      </c>
      <c r="O14" s="3356"/>
      <c r="P14" s="2621">
        <v>300987867</v>
      </c>
      <c r="Q14" s="2621">
        <v>300987867</v>
      </c>
      <c r="R14" s="2616">
        <v>0</v>
      </c>
      <c r="S14" s="2616">
        <v>0</v>
      </c>
      <c r="T14" s="2663">
        <f t="shared" si="1"/>
        <v>0</v>
      </c>
      <c r="U14" s="2663">
        <f t="shared" si="1"/>
        <v>0</v>
      </c>
      <c r="V14" s="2617"/>
      <c r="W14" s="2617"/>
      <c r="X14" s="2600" t="s">
        <v>5161</v>
      </c>
      <c r="Y14" s="3351"/>
    </row>
    <row r="15" spans="1:25" s="420" customFormat="1" ht="15.6">
      <c r="A15" s="2645"/>
      <c r="B15" s="2646">
        <v>5402</v>
      </c>
      <c r="C15" s="2646" t="s">
        <v>115</v>
      </c>
      <c r="D15" s="2647" t="s">
        <v>118</v>
      </c>
      <c r="E15" s="2645"/>
      <c r="F15" s="2648"/>
      <c r="G15" s="2648"/>
      <c r="H15" s="2648"/>
      <c r="I15" s="2648"/>
      <c r="J15" s="2649"/>
      <c r="K15" s="2648"/>
      <c r="L15" s="2650"/>
      <c r="M15" s="2651"/>
      <c r="N15" s="2655"/>
      <c r="O15" s="2656"/>
      <c r="P15" s="2651"/>
      <c r="Q15" s="2651"/>
      <c r="R15" s="2652"/>
      <c r="S15" s="2652"/>
      <c r="T15" s="2664"/>
      <c r="U15" s="2664"/>
      <c r="V15" s="2602"/>
      <c r="W15" s="2602"/>
      <c r="X15" s="2602"/>
      <c r="Y15" s="2645"/>
    </row>
    <row r="16" spans="1:25">
      <c r="A16" s="2638"/>
      <c r="B16" s="2639">
        <v>5402001</v>
      </c>
      <c r="C16" s="2639" t="s">
        <v>116</v>
      </c>
      <c r="D16" s="3" t="s">
        <v>119</v>
      </c>
      <c r="E16" s="2638"/>
      <c r="F16" s="2606"/>
      <c r="G16" s="2606"/>
      <c r="H16" s="2606"/>
      <c r="I16" s="2606"/>
      <c r="J16" s="2640"/>
      <c r="K16" s="2606"/>
      <c r="L16" s="2641"/>
      <c r="M16" s="2642"/>
      <c r="N16" s="2657"/>
      <c r="O16" s="2658"/>
      <c r="P16" s="2642"/>
      <c r="Q16" s="2642"/>
      <c r="R16" s="2643"/>
      <c r="S16" s="2643"/>
      <c r="T16" s="2665"/>
      <c r="U16" s="2665"/>
      <c r="V16" s="2644"/>
      <c r="W16" s="2644"/>
      <c r="X16" s="2644"/>
      <c r="Y16" s="2638"/>
    </row>
    <row r="17" spans="1:25">
      <c r="A17" s="2597"/>
      <c r="B17" s="2607">
        <v>54020010035</v>
      </c>
      <c r="C17" s="2607" t="s">
        <v>117</v>
      </c>
      <c r="D17" s="2604" t="s">
        <v>5168</v>
      </c>
      <c r="E17" s="2597"/>
      <c r="F17" s="2597"/>
      <c r="G17" s="2599"/>
      <c r="H17" s="2597"/>
      <c r="I17" s="2604"/>
      <c r="J17" s="2604"/>
      <c r="K17" s="2622"/>
      <c r="L17" s="2622"/>
      <c r="M17" s="2601"/>
      <c r="N17" s="2653"/>
      <c r="O17" s="2654"/>
      <c r="P17" s="2623"/>
      <c r="Q17" s="2623"/>
      <c r="R17" s="2616"/>
      <c r="S17" s="2616"/>
      <c r="T17" s="2666"/>
      <c r="U17" s="2666"/>
      <c r="V17" s="2617"/>
      <c r="W17" s="2617"/>
      <c r="X17" s="2600"/>
      <c r="Y17" s="2600"/>
    </row>
    <row r="18" spans="1:25">
      <c r="A18" s="3352">
        <v>4181</v>
      </c>
      <c r="B18" s="3353"/>
      <c r="C18" s="3353" t="s">
        <v>502</v>
      </c>
      <c r="D18" s="3354" t="s">
        <v>5169</v>
      </c>
      <c r="E18" s="2610" t="s">
        <v>5170</v>
      </c>
      <c r="F18" s="2613"/>
      <c r="G18" s="2613"/>
      <c r="H18" s="2610"/>
      <c r="I18" s="2613"/>
      <c r="J18" s="2613"/>
      <c r="K18" s="2613">
        <f>+K20</f>
        <v>1</v>
      </c>
      <c r="L18" s="2624">
        <f>SUM(L19:L20)</f>
        <v>1</v>
      </c>
      <c r="M18" s="2601"/>
      <c r="N18" s="2653">
        <f>SUM(N19:N20)</f>
        <v>0</v>
      </c>
      <c r="O18" s="2659"/>
      <c r="P18" s="2616">
        <f>SUM(P19:P20)</f>
        <v>2673022862</v>
      </c>
      <c r="Q18" s="2616">
        <f>SUM(Q19:Q20)</f>
        <v>1209914830</v>
      </c>
      <c r="R18" s="2616">
        <f t="shared" ref="R18:S18" si="2">SUM(R19:R20)</f>
        <v>0</v>
      </c>
      <c r="S18" s="2616">
        <f t="shared" si="2"/>
        <v>0</v>
      </c>
      <c r="T18" s="2663">
        <f>IF(Q18=0,0,R18/Q18)</f>
        <v>0</v>
      </c>
      <c r="U18" s="2663">
        <f>IF(R18=0,0,S18/R18)</f>
        <v>0</v>
      </c>
      <c r="V18" s="2617"/>
      <c r="W18" s="2617"/>
      <c r="X18" s="2600"/>
      <c r="Y18" s="2600"/>
    </row>
    <row r="19" spans="1:25" ht="105.6">
      <c r="A19" s="3352"/>
      <c r="B19" s="3353"/>
      <c r="C19" s="3353"/>
      <c r="D19" s="3354"/>
      <c r="E19" s="2610" t="s">
        <v>5171</v>
      </c>
      <c r="F19" s="2613"/>
      <c r="G19" s="2613"/>
      <c r="H19" s="2613"/>
      <c r="I19" s="2613" t="s">
        <v>5172</v>
      </c>
      <c r="J19" s="2613" t="s">
        <v>5173</v>
      </c>
      <c r="K19" s="2613">
        <v>1</v>
      </c>
      <c r="L19" s="2625">
        <v>0.3</v>
      </c>
      <c r="M19" s="2600"/>
      <c r="N19" s="2660">
        <v>0</v>
      </c>
      <c r="O19" s="3355">
        <f>IF(Q18&gt;0,N18,"na")</f>
        <v>0</v>
      </c>
      <c r="P19" s="2621">
        <v>276891968</v>
      </c>
      <c r="Q19" s="2621">
        <v>276891968</v>
      </c>
      <c r="R19" s="2616">
        <v>0</v>
      </c>
      <c r="S19" s="2616">
        <v>0</v>
      </c>
      <c r="T19" s="2663">
        <f t="shared" ref="T19:U20" si="3">IF(Q19=0,0,R19/Q19)</f>
        <v>0</v>
      </c>
      <c r="U19" s="2663">
        <f t="shared" si="3"/>
        <v>0</v>
      </c>
      <c r="V19" s="2617"/>
      <c r="W19" s="2617"/>
      <c r="X19" s="2600" t="s">
        <v>5161</v>
      </c>
      <c r="Y19" s="3351" t="s">
        <v>5162</v>
      </c>
    </row>
    <row r="20" spans="1:25" ht="79.2">
      <c r="A20" s="3352"/>
      <c r="B20" s="3353"/>
      <c r="C20" s="3353"/>
      <c r="D20" s="3354"/>
      <c r="E20" s="2610" t="s">
        <v>5174</v>
      </c>
      <c r="F20" s="2613"/>
      <c r="G20" s="2613" t="s">
        <v>5168</v>
      </c>
      <c r="H20" s="2610"/>
      <c r="I20" s="2613" t="s">
        <v>5175</v>
      </c>
      <c r="J20" s="2613" t="s">
        <v>2137</v>
      </c>
      <c r="K20" s="2613">
        <v>1</v>
      </c>
      <c r="L20" s="2625">
        <v>0.7</v>
      </c>
      <c r="M20" s="2600"/>
      <c r="N20" s="2660">
        <v>0</v>
      </c>
      <c r="O20" s="3355"/>
      <c r="P20" s="2621">
        <v>2396130894</v>
      </c>
      <c r="Q20" s="2623">
        <v>933022862</v>
      </c>
      <c r="R20" s="2616">
        <v>0</v>
      </c>
      <c r="S20" s="2616">
        <v>0</v>
      </c>
      <c r="T20" s="2663">
        <f t="shared" si="3"/>
        <v>0</v>
      </c>
      <c r="U20" s="2663">
        <f t="shared" si="3"/>
        <v>0</v>
      </c>
      <c r="V20" s="2617"/>
      <c r="W20" s="2617"/>
      <c r="X20" s="2600" t="s">
        <v>5161</v>
      </c>
      <c r="Y20" s="3351"/>
    </row>
    <row r="21" spans="1:25">
      <c r="A21" s="2600"/>
      <c r="B21" s="2607">
        <v>54020010037</v>
      </c>
      <c r="C21" s="2607" t="s">
        <v>117</v>
      </c>
      <c r="D21" s="2604" t="s">
        <v>5176</v>
      </c>
      <c r="E21" s="2599"/>
      <c r="F21" s="2608"/>
      <c r="G21" s="2600"/>
      <c r="H21" s="2626"/>
      <c r="I21" s="2600"/>
      <c r="J21" s="2600"/>
      <c r="K21" s="2600"/>
      <c r="L21" s="2600"/>
      <c r="M21" s="2600"/>
      <c r="N21" s="2660"/>
      <c r="O21" s="2661"/>
      <c r="P21" s="2623"/>
      <c r="Q21" s="2623"/>
      <c r="R21" s="2616"/>
      <c r="S21" s="2616"/>
      <c r="T21" s="2666"/>
      <c r="U21" s="2666"/>
      <c r="V21" s="2617"/>
      <c r="W21" s="2617"/>
      <c r="X21" s="2600"/>
      <c r="Y21" s="2600"/>
    </row>
    <row r="22" spans="1:25">
      <c r="A22" s="3352">
        <v>4181</v>
      </c>
      <c r="B22" s="3352"/>
      <c r="C22" s="3352" t="s">
        <v>502</v>
      </c>
      <c r="D22" s="3354" t="s">
        <v>5177</v>
      </c>
      <c r="E22" s="2610" t="s">
        <v>5178</v>
      </c>
      <c r="F22" s="2613"/>
      <c r="G22" s="2613"/>
      <c r="H22" s="2627"/>
      <c r="I22" s="2613"/>
      <c r="J22" s="2610"/>
      <c r="K22" s="2613">
        <f>+K23</f>
        <v>1120</v>
      </c>
      <c r="L22" s="2625">
        <f>SUM(L23:L25)</f>
        <v>1</v>
      </c>
      <c r="M22" s="2600"/>
      <c r="N22" s="2660">
        <f>SUM(N23:N25)</f>
        <v>0</v>
      </c>
      <c r="O22" s="2661"/>
      <c r="P22" s="2616">
        <f>SUM(P23:P25)</f>
        <v>301234861</v>
      </c>
      <c r="Q22" s="2616">
        <f>SUM(Q23:Q25)</f>
        <v>301234861</v>
      </c>
      <c r="R22" s="2616">
        <f t="shared" ref="R22:S22" si="4">SUM(R23:R25)</f>
        <v>0</v>
      </c>
      <c r="S22" s="2616">
        <f t="shared" si="4"/>
        <v>0</v>
      </c>
      <c r="T22" s="2663">
        <f>IF(Q22=0,0,R22/Q22)</f>
        <v>0</v>
      </c>
      <c r="U22" s="2663">
        <f>IF(R22=0,0,S22/R22)</f>
        <v>0</v>
      </c>
      <c r="V22" s="2617"/>
      <c r="W22" s="2617"/>
      <c r="X22" s="2600"/>
      <c r="Y22" s="2600"/>
    </row>
    <row r="23" spans="1:25" ht="79.2">
      <c r="A23" s="3352"/>
      <c r="B23" s="3352"/>
      <c r="C23" s="3352"/>
      <c r="D23" s="3354"/>
      <c r="E23" s="2610" t="s">
        <v>5179</v>
      </c>
      <c r="F23" s="2613"/>
      <c r="G23" s="3363" t="s">
        <v>5180</v>
      </c>
      <c r="H23" s="3357"/>
      <c r="I23" s="2613" t="s">
        <v>5181</v>
      </c>
      <c r="J23" s="2610" t="s">
        <v>5182</v>
      </c>
      <c r="K23" s="2613">
        <v>1120</v>
      </c>
      <c r="L23" s="2625">
        <v>0.45</v>
      </c>
      <c r="M23" s="2600"/>
      <c r="N23" s="2660">
        <v>0</v>
      </c>
      <c r="O23" s="3355">
        <f>IF(Q22&gt;0,N22,"na")</f>
        <v>0</v>
      </c>
      <c r="P23" s="2628">
        <v>139946800</v>
      </c>
      <c r="Q23" s="2628">
        <v>139946800</v>
      </c>
      <c r="R23" s="2616">
        <v>0</v>
      </c>
      <c r="S23" s="2616">
        <v>0</v>
      </c>
      <c r="T23" s="2663">
        <f t="shared" ref="T23:U25" si="5">IF(Q23=0,0,R23/Q23)</f>
        <v>0</v>
      </c>
      <c r="U23" s="2663">
        <f t="shared" si="5"/>
        <v>0</v>
      </c>
      <c r="V23" s="2617"/>
      <c r="W23" s="2617"/>
      <c r="X23" s="2600" t="s">
        <v>5161</v>
      </c>
      <c r="Y23" s="3351" t="s">
        <v>5162</v>
      </c>
    </row>
    <row r="24" spans="1:25" ht="52.8">
      <c r="A24" s="3352"/>
      <c r="B24" s="3352"/>
      <c r="C24" s="3352"/>
      <c r="D24" s="3354"/>
      <c r="E24" s="2610" t="s">
        <v>5183</v>
      </c>
      <c r="F24" s="2613"/>
      <c r="G24" s="3363"/>
      <c r="H24" s="3357"/>
      <c r="I24" s="2613" t="s">
        <v>5184</v>
      </c>
      <c r="J24" s="2610" t="s">
        <v>184</v>
      </c>
      <c r="K24" s="2613">
        <v>1</v>
      </c>
      <c r="L24" s="2625">
        <v>0.3</v>
      </c>
      <c r="M24" s="2600"/>
      <c r="N24" s="2660">
        <v>0</v>
      </c>
      <c r="O24" s="3355"/>
      <c r="P24" s="2628">
        <v>76504850</v>
      </c>
      <c r="Q24" s="2628">
        <v>76504850</v>
      </c>
      <c r="R24" s="2616">
        <v>0</v>
      </c>
      <c r="S24" s="2616">
        <v>0</v>
      </c>
      <c r="T24" s="2663">
        <f t="shared" si="5"/>
        <v>0</v>
      </c>
      <c r="U24" s="2663">
        <f t="shared" si="5"/>
        <v>0</v>
      </c>
      <c r="V24" s="2617"/>
      <c r="W24" s="2617"/>
      <c r="X24" s="2600" t="s">
        <v>5161</v>
      </c>
      <c r="Y24" s="3351"/>
    </row>
    <row r="25" spans="1:25" ht="52.8">
      <c r="A25" s="3250"/>
      <c r="B25" s="3250"/>
      <c r="C25" s="3250"/>
      <c r="D25" s="3362"/>
      <c r="E25" s="1124" t="s">
        <v>5185</v>
      </c>
      <c r="F25" s="883"/>
      <c r="G25" s="3072"/>
      <c r="H25" s="3358"/>
      <c r="I25" s="883" t="s">
        <v>5186</v>
      </c>
      <c r="J25" s="1124" t="s">
        <v>5187</v>
      </c>
      <c r="K25" s="883">
        <v>1</v>
      </c>
      <c r="L25" s="2635">
        <v>0.25</v>
      </c>
      <c r="M25" s="2636"/>
      <c r="N25" s="2662">
        <v>0</v>
      </c>
      <c r="O25" s="3359"/>
      <c r="P25" s="2637">
        <v>84783211</v>
      </c>
      <c r="Q25" s="2637">
        <v>84783211</v>
      </c>
      <c r="R25" s="1970">
        <v>0</v>
      </c>
      <c r="S25" s="1970">
        <v>0</v>
      </c>
      <c r="T25" s="2667">
        <f t="shared" si="5"/>
        <v>0</v>
      </c>
      <c r="U25" s="2667">
        <f t="shared" si="5"/>
        <v>0</v>
      </c>
      <c r="V25" s="1041"/>
      <c r="W25" s="1041"/>
      <c r="X25" s="2636" t="s">
        <v>5161</v>
      </c>
      <c r="Y25" s="3360"/>
    </row>
    <row r="26" spans="1:25">
      <c r="A26" s="52"/>
      <c r="B26" s="53"/>
      <c r="C26" s="53"/>
      <c r="D26" s="57"/>
      <c r="E26" s="52"/>
      <c r="F26" s="52"/>
      <c r="G26" s="52"/>
      <c r="H26" s="52"/>
      <c r="I26" s="52"/>
      <c r="J26" s="53"/>
      <c r="K26" s="52"/>
      <c r="L26" s="52"/>
      <c r="M26" s="52"/>
      <c r="N26" s="52"/>
      <c r="O26" s="52"/>
      <c r="P26" s="52"/>
      <c r="Q26" s="52"/>
      <c r="R26" s="52"/>
      <c r="S26" s="52"/>
      <c r="T26" s="124"/>
      <c r="U26" s="124"/>
      <c r="V26" s="52"/>
      <c r="W26" s="52"/>
      <c r="X26" s="52"/>
      <c r="Y26" s="52"/>
    </row>
    <row r="27" spans="1:25">
      <c r="A27" s="52"/>
      <c r="B27" s="103" t="s">
        <v>50</v>
      </c>
      <c r="C27" s="103">
        <f>COUNTIF(C7:C25,"Pr")</f>
        <v>3</v>
      </c>
      <c r="D27" s="57"/>
      <c r="E27" s="3361" t="s">
        <v>126</v>
      </c>
      <c r="F27" s="3361"/>
      <c r="G27" s="103">
        <f>COUNTIF(O11:O25,"na")</f>
        <v>0</v>
      </c>
      <c r="H27" s="52"/>
      <c r="I27" s="52"/>
      <c r="J27" s="53"/>
      <c r="K27" s="52"/>
      <c r="L27" s="52"/>
      <c r="M27" s="52"/>
      <c r="N27" s="45" t="s">
        <v>1243</v>
      </c>
      <c r="O27" s="1737">
        <f>AVERAGE(O11:O25)</f>
        <v>0</v>
      </c>
      <c r="P27" s="59">
        <f>P22+P18+P11</f>
        <v>4892151211</v>
      </c>
      <c r="Q27" s="59">
        <f>Q22+Q18+Q11</f>
        <v>3429043179</v>
      </c>
      <c r="R27" s="59">
        <f t="shared" ref="R27:S27" si="6">R22+R18+R11</f>
        <v>0</v>
      </c>
      <c r="S27" s="59">
        <f t="shared" si="6"/>
        <v>0</v>
      </c>
      <c r="T27" s="2140">
        <f>IF(Q27=0,0,R27/Q27)</f>
        <v>0</v>
      </c>
      <c r="U27" s="2140">
        <f>IF(R27=0,0,S27/R27)</f>
        <v>0</v>
      </c>
      <c r="V27" s="52"/>
      <c r="W27" s="52"/>
      <c r="X27" s="52"/>
      <c r="Y27" s="52"/>
    </row>
    <row r="28" spans="1:25">
      <c r="A28" s="52"/>
      <c r="B28" s="53"/>
      <c r="C28" s="53"/>
      <c r="D28" s="57"/>
      <c r="E28" s="52"/>
      <c r="F28" s="52"/>
      <c r="G28" s="52"/>
      <c r="H28" s="52"/>
      <c r="I28" s="52"/>
      <c r="J28" s="53"/>
      <c r="K28" s="52"/>
      <c r="L28" s="52"/>
      <c r="M28" s="52"/>
      <c r="N28" s="261" t="s">
        <v>3743</v>
      </c>
      <c r="O28" s="45">
        <f>COUNTIF(O11:O25,"=0%")</f>
        <v>3</v>
      </c>
      <c r="P28" s="59">
        <v>4892151211</v>
      </c>
      <c r="Q28" s="59">
        <v>3429043179</v>
      </c>
      <c r="R28" s="59">
        <v>0</v>
      </c>
      <c r="S28" s="59">
        <v>0</v>
      </c>
      <c r="T28" s="2140"/>
      <c r="U28" s="2140"/>
      <c r="V28" s="52"/>
      <c r="W28" s="52"/>
      <c r="X28" s="52"/>
      <c r="Y28" s="52"/>
    </row>
    <row r="29" spans="1:25">
      <c r="A29" s="52"/>
      <c r="B29" s="53"/>
      <c r="C29" s="53"/>
      <c r="D29" s="57"/>
      <c r="E29" s="52"/>
      <c r="F29" s="52"/>
      <c r="G29" s="52"/>
      <c r="H29" s="52"/>
      <c r="I29" s="52"/>
      <c r="J29" s="53"/>
      <c r="K29" s="52"/>
      <c r="L29" s="52"/>
      <c r="M29" s="52"/>
      <c r="N29" s="52"/>
      <c r="O29" s="52"/>
      <c r="P29" s="52"/>
      <c r="Q29" s="52"/>
      <c r="R29" s="52"/>
      <c r="S29" s="52"/>
      <c r="T29" s="52"/>
      <c r="U29" s="52"/>
      <c r="V29" s="52"/>
      <c r="W29" s="52"/>
      <c r="X29" s="52"/>
      <c r="Y29" s="52"/>
    </row>
  </sheetData>
  <autoFilter ref="A5:Y6" xr:uid="{00000000-0009-0000-0000-00001A000000}"/>
  <mergeCells count="53">
    <mergeCell ref="H23:H25"/>
    <mergeCell ref="O23:O25"/>
    <mergeCell ref="Y23:Y25"/>
    <mergeCell ref="E27:F27"/>
    <mergeCell ref="A22:A25"/>
    <mergeCell ref="B22:B25"/>
    <mergeCell ref="C22:C25"/>
    <mergeCell ref="D22:D25"/>
    <mergeCell ref="G23:G25"/>
    <mergeCell ref="Y12:Y14"/>
    <mergeCell ref="A18:A20"/>
    <mergeCell ref="B18:B20"/>
    <mergeCell ref="C18:C20"/>
    <mergeCell ref="D18:D20"/>
    <mergeCell ref="O19:O20"/>
    <mergeCell ref="Y19:Y20"/>
    <mergeCell ref="A11:A14"/>
    <mergeCell ref="B11:B14"/>
    <mergeCell ref="C11:C14"/>
    <mergeCell ref="D11:D14"/>
    <mergeCell ref="O12:O14"/>
    <mergeCell ref="A2:Y2"/>
    <mergeCell ref="A3:B3"/>
    <mergeCell ref="V3:W3"/>
    <mergeCell ref="A5:A6"/>
    <mergeCell ref="C5:C6"/>
    <mergeCell ref="J5:J6"/>
    <mergeCell ref="I5:I6"/>
    <mergeCell ref="L5:L6"/>
    <mergeCell ref="M5:M6"/>
    <mergeCell ref="N5:N6"/>
    <mergeCell ref="H5:H6"/>
    <mergeCell ref="Y5:Y6"/>
    <mergeCell ref="C3:S3"/>
    <mergeCell ref="T3:U3"/>
    <mergeCell ref="A4:X4"/>
    <mergeCell ref="B5:B6"/>
    <mergeCell ref="A1:X1"/>
    <mergeCell ref="E5:E6"/>
    <mergeCell ref="F5:F6"/>
    <mergeCell ref="O5:O6"/>
    <mergeCell ref="P5:P6"/>
    <mergeCell ref="R5:R6"/>
    <mergeCell ref="V5:V6"/>
    <mergeCell ref="G5:G6"/>
    <mergeCell ref="K5:K6"/>
    <mergeCell ref="U5:U6"/>
    <mergeCell ref="W5:W6"/>
    <mergeCell ref="X5:X6"/>
    <mergeCell ref="Q5:Q6"/>
    <mergeCell ref="D5:D6"/>
    <mergeCell ref="S5:S6"/>
    <mergeCell ref="T5:T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101"/>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6" width="12.44140625" style="3" customWidth="1"/>
    <col min="7" max="7" width="17.88671875" style="3" customWidth="1"/>
    <col min="8"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320</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3364" t="s">
        <v>88</v>
      </c>
      <c r="B5" s="3364" t="s">
        <v>4</v>
      </c>
      <c r="C5" s="3364" t="s">
        <v>3</v>
      </c>
      <c r="D5" s="3364" t="s">
        <v>108</v>
      </c>
      <c r="E5" s="3364" t="s">
        <v>2</v>
      </c>
      <c r="F5" s="3364" t="s">
        <v>89</v>
      </c>
      <c r="G5" s="3364" t="s">
        <v>106</v>
      </c>
      <c r="H5" s="3364" t="s">
        <v>107</v>
      </c>
      <c r="I5" s="3364" t="s">
        <v>8</v>
      </c>
      <c r="J5" s="3364" t="s">
        <v>9</v>
      </c>
      <c r="K5" s="3364" t="s">
        <v>10</v>
      </c>
      <c r="L5" s="3370" t="s">
        <v>11</v>
      </c>
      <c r="M5" s="3367" t="s">
        <v>100</v>
      </c>
      <c r="N5" s="3365" t="s">
        <v>12</v>
      </c>
      <c r="O5" s="3365" t="s">
        <v>86</v>
      </c>
      <c r="P5" s="3368" t="s">
        <v>1</v>
      </c>
      <c r="Q5" s="3365" t="s">
        <v>13</v>
      </c>
      <c r="R5" s="3365" t="s">
        <v>14</v>
      </c>
      <c r="S5" s="3365" t="s">
        <v>16</v>
      </c>
      <c r="T5" s="3365" t="s">
        <v>15</v>
      </c>
      <c r="U5" s="3365" t="s">
        <v>103</v>
      </c>
      <c r="V5" s="3368" t="s">
        <v>6</v>
      </c>
      <c r="W5" s="3368" t="s">
        <v>7</v>
      </c>
      <c r="X5" s="3365" t="s">
        <v>0</v>
      </c>
      <c r="Y5" s="3372" t="s">
        <v>90</v>
      </c>
    </row>
    <row r="6" spans="1:25" ht="70.95" customHeight="1">
      <c r="A6" s="3364"/>
      <c r="B6" s="3364"/>
      <c r="C6" s="3364"/>
      <c r="D6" s="3364"/>
      <c r="E6" s="3364"/>
      <c r="F6" s="3364"/>
      <c r="G6" s="3364"/>
      <c r="H6" s="3364"/>
      <c r="I6" s="3364"/>
      <c r="J6" s="3364"/>
      <c r="K6" s="3364"/>
      <c r="L6" s="3371"/>
      <c r="M6" s="3367"/>
      <c r="N6" s="3366"/>
      <c r="O6" s="3366"/>
      <c r="P6" s="3369"/>
      <c r="Q6" s="3366"/>
      <c r="R6" s="3366"/>
      <c r="S6" s="3366"/>
      <c r="T6" s="3366"/>
      <c r="U6" s="3366"/>
      <c r="V6" s="3369"/>
      <c r="W6" s="3369"/>
      <c r="X6" s="3366"/>
      <c r="Y6" s="3373"/>
    </row>
    <row r="7" spans="1:25" ht="15.6">
      <c r="A7" s="2668"/>
      <c r="B7" s="2669">
        <v>51</v>
      </c>
      <c r="C7" s="2669" t="s">
        <v>114</v>
      </c>
      <c r="D7" s="2670" t="s">
        <v>148</v>
      </c>
      <c r="E7" s="2671"/>
      <c r="F7" s="2672"/>
      <c r="G7" s="2673"/>
      <c r="H7" s="2674"/>
      <c r="I7" s="2674"/>
      <c r="J7" s="2668"/>
      <c r="K7" s="2674"/>
      <c r="L7" s="2674"/>
      <c r="M7" s="2675"/>
      <c r="N7" s="2676"/>
      <c r="O7" s="2677"/>
      <c r="P7" s="2675"/>
      <c r="Q7" s="2678"/>
      <c r="R7" s="2679"/>
      <c r="S7" s="2679"/>
      <c r="T7" s="2680"/>
      <c r="U7" s="2680"/>
      <c r="V7" s="2668"/>
      <c r="W7" s="2668"/>
      <c r="X7" s="2681"/>
      <c r="Y7" s="2674"/>
    </row>
    <row r="8" spans="1:25" ht="15.6">
      <c r="A8" s="2682"/>
      <c r="B8" s="2683">
        <v>5101</v>
      </c>
      <c r="C8" s="2683" t="s">
        <v>115</v>
      </c>
      <c r="D8" s="2684" t="s">
        <v>150</v>
      </c>
      <c r="E8" s="2684"/>
      <c r="F8" s="2685"/>
      <c r="G8" s="2686"/>
      <c r="H8" s="2682"/>
      <c r="I8" s="2682"/>
      <c r="J8" s="2683"/>
      <c r="K8" s="2682"/>
      <c r="L8" s="2682"/>
      <c r="M8" s="2687"/>
      <c r="N8" s="2688"/>
      <c r="O8" s="2689"/>
      <c r="P8" s="2687"/>
      <c r="Q8" s="2690"/>
      <c r="R8" s="2691"/>
      <c r="S8" s="2691"/>
      <c r="T8" s="2692"/>
      <c r="U8" s="2692"/>
      <c r="V8" s="2683"/>
      <c r="W8" s="2683"/>
      <c r="X8" s="2693"/>
      <c r="Y8" s="2682"/>
    </row>
    <row r="9" spans="1:25">
      <c r="A9" s="2694"/>
      <c r="B9" s="2695">
        <v>5101001</v>
      </c>
      <c r="C9" s="2695" t="s">
        <v>116</v>
      </c>
      <c r="D9" s="2696" t="s">
        <v>150</v>
      </c>
      <c r="E9" s="2697"/>
      <c r="F9" s="2698"/>
      <c r="G9" s="2699"/>
      <c r="H9" s="2694"/>
      <c r="I9" s="2694"/>
      <c r="J9" s="2700"/>
      <c r="K9" s="2694"/>
      <c r="L9" s="2694"/>
      <c r="M9" s="2687"/>
      <c r="N9" s="2688"/>
      <c r="O9" s="2689"/>
      <c r="P9" s="2687"/>
      <c r="Q9" s="2690"/>
      <c r="R9" s="2691"/>
      <c r="S9" s="2691"/>
      <c r="T9" s="2692"/>
      <c r="U9" s="2692"/>
      <c r="V9" s="2700"/>
      <c r="W9" s="2700"/>
      <c r="X9" s="2693"/>
      <c r="Y9" s="2694"/>
    </row>
    <row r="10" spans="1:25">
      <c r="A10" s="2694"/>
      <c r="B10" s="2701" t="s">
        <v>5188</v>
      </c>
      <c r="C10" s="2702" t="s">
        <v>117</v>
      </c>
      <c r="D10" s="2703" t="s">
        <v>5189</v>
      </c>
      <c r="E10" s="2697"/>
      <c r="F10" s="2704"/>
      <c r="G10" s="2699"/>
      <c r="H10" s="2705"/>
      <c r="I10" s="2694"/>
      <c r="J10" s="2700"/>
      <c r="K10" s="2694"/>
      <c r="L10" s="2694"/>
      <c r="M10" s="2687"/>
      <c r="N10" s="2688"/>
      <c r="O10" s="2706"/>
      <c r="P10" s="2707"/>
      <c r="Q10" s="2690"/>
      <c r="R10" s="2691"/>
      <c r="S10" s="2691"/>
      <c r="T10" s="2692"/>
      <c r="U10" s="2692"/>
      <c r="V10" s="2700"/>
      <c r="W10" s="2708"/>
      <c r="X10" s="2693"/>
      <c r="Y10" s="2700"/>
    </row>
    <row r="11" spans="1:25">
      <c r="A11" s="3374">
        <v>4182</v>
      </c>
      <c r="B11" s="3375"/>
      <c r="C11" s="3375" t="s">
        <v>123</v>
      </c>
      <c r="D11" s="3376" t="s">
        <v>5190</v>
      </c>
      <c r="E11" s="2697" t="s">
        <v>5191</v>
      </c>
      <c r="F11" s="2710"/>
      <c r="G11" s="2711"/>
      <c r="H11" s="2712"/>
      <c r="I11" s="2700"/>
      <c r="J11" s="2713"/>
      <c r="K11" s="2789">
        <f>+K12</f>
        <v>490830</v>
      </c>
      <c r="L11" s="2790">
        <f>SUM(L12:L13)</f>
        <v>1</v>
      </c>
      <c r="M11" s="2789">
        <f>SUM(M12:M13)</f>
        <v>0</v>
      </c>
      <c r="N11" s="2792">
        <f>SUM(N12:N13)</f>
        <v>0.05</v>
      </c>
      <c r="O11" s="3377">
        <f>IF(Q11&gt;0,N11,"NA")</f>
        <v>0.05</v>
      </c>
      <c r="P11" s="2714">
        <f>SUM(P12:P13)</f>
        <v>37618640000</v>
      </c>
      <c r="Q11" s="2714">
        <f t="shared" ref="Q11:S11" si="0">SUM(Q12:Q13)</f>
        <v>37618640000</v>
      </c>
      <c r="R11" s="2714">
        <f t="shared" si="0"/>
        <v>3539368224</v>
      </c>
      <c r="S11" s="2714">
        <f t="shared" si="0"/>
        <v>3390656224</v>
      </c>
      <c r="T11" s="2810">
        <f>+IF(Q11=0,0,R11/Q11)</f>
        <v>9.4085491235196175E-2</v>
      </c>
      <c r="U11" s="2810">
        <f>+IF(R11=0,0,S11/R11)</f>
        <v>0.9579834618529931</v>
      </c>
      <c r="V11" s="2715"/>
      <c r="W11" s="2715"/>
      <c r="X11" s="2716"/>
      <c r="Y11" s="3374" t="s">
        <v>5192</v>
      </c>
    </row>
    <row r="12" spans="1:25" ht="92.4">
      <c r="A12" s="3374"/>
      <c r="B12" s="3375"/>
      <c r="C12" s="3375"/>
      <c r="D12" s="3376"/>
      <c r="E12" s="2697" t="s">
        <v>5193</v>
      </c>
      <c r="F12" s="2710"/>
      <c r="G12" s="2697" t="s">
        <v>5189</v>
      </c>
      <c r="H12" s="2712"/>
      <c r="I12" s="2726" t="s">
        <v>5194</v>
      </c>
      <c r="J12" s="2726" t="s">
        <v>5195</v>
      </c>
      <c r="K12" s="2789">
        <v>490830</v>
      </c>
      <c r="L12" s="2790">
        <v>0.9</v>
      </c>
      <c r="M12" s="2789">
        <v>0</v>
      </c>
      <c r="N12" s="2792">
        <v>0</v>
      </c>
      <c r="O12" s="3377"/>
      <c r="P12" s="2714">
        <v>36491300000</v>
      </c>
      <c r="Q12" s="2714">
        <v>36491300000</v>
      </c>
      <c r="R12" s="2714">
        <v>3037117224</v>
      </c>
      <c r="S12" s="2714">
        <v>3037117224</v>
      </c>
      <c r="T12" s="2810">
        <f t="shared" ref="T12:T21" si="1">+IF(Q12=0,0,R12/Q12)</f>
        <v>8.3228529101457061E-2</v>
      </c>
      <c r="U12" s="2810">
        <f>+IF(R12=0,0,S12/R12)</f>
        <v>1</v>
      </c>
      <c r="V12" s="2715">
        <v>45321</v>
      </c>
      <c r="W12" s="2715">
        <v>45657</v>
      </c>
      <c r="X12" s="2716" t="s">
        <v>5196</v>
      </c>
      <c r="Y12" s="3374"/>
    </row>
    <row r="13" spans="1:25" ht="158.4">
      <c r="A13" s="3374"/>
      <c r="B13" s="3375"/>
      <c r="C13" s="3375"/>
      <c r="D13" s="3376"/>
      <c r="E13" s="2697" t="s">
        <v>5197</v>
      </c>
      <c r="F13" s="2710"/>
      <c r="G13" s="2697"/>
      <c r="H13" s="2717"/>
      <c r="I13" s="2726" t="s">
        <v>5198</v>
      </c>
      <c r="J13" s="2726" t="s">
        <v>124</v>
      </c>
      <c r="K13" s="2726">
        <v>6</v>
      </c>
      <c r="L13" s="2790">
        <v>0.1</v>
      </c>
      <c r="M13" s="2789">
        <v>0</v>
      </c>
      <c r="N13" s="2792">
        <v>0.05</v>
      </c>
      <c r="O13" s="3377"/>
      <c r="P13" s="2714">
        <v>1127340000</v>
      </c>
      <c r="Q13" s="2714">
        <v>1127340000</v>
      </c>
      <c r="R13" s="2714">
        <v>502251000</v>
      </c>
      <c r="S13" s="2714">
        <v>353539000</v>
      </c>
      <c r="T13" s="2810">
        <f t="shared" si="1"/>
        <v>0.44551865453190698</v>
      </c>
      <c r="U13" s="2810">
        <f>+IF(R13=0,0,S13/R13)</f>
        <v>0.70390900167446158</v>
      </c>
      <c r="V13" s="2715">
        <v>45321</v>
      </c>
      <c r="W13" s="2715">
        <v>45657</v>
      </c>
      <c r="X13" s="2716" t="s">
        <v>5199</v>
      </c>
      <c r="Y13" s="3374"/>
    </row>
    <row r="14" spans="1:25">
      <c r="A14" s="2700"/>
      <c r="B14" s="2701" t="s">
        <v>5200</v>
      </c>
      <c r="C14" s="2718" t="s">
        <v>117</v>
      </c>
      <c r="D14" s="2703" t="s">
        <v>5201</v>
      </c>
      <c r="E14" s="2697"/>
      <c r="F14" s="2719"/>
      <c r="G14" s="2697"/>
      <c r="H14" s="2700"/>
      <c r="I14" s="2726"/>
      <c r="J14" s="2726"/>
      <c r="K14" s="2726"/>
      <c r="L14" s="2726"/>
      <c r="M14" s="2791"/>
      <c r="N14" s="2805"/>
      <c r="O14" s="2806"/>
      <c r="P14" s="2720"/>
      <c r="Q14" s="2721"/>
      <c r="R14" s="2721"/>
      <c r="S14" s="2721"/>
      <c r="T14" s="2812"/>
      <c r="U14" s="2812"/>
      <c r="V14" s="2715"/>
      <c r="W14" s="2715"/>
      <c r="X14" s="2723"/>
      <c r="Y14" s="2700"/>
    </row>
    <row r="15" spans="1:25">
      <c r="A15" s="3374">
        <v>4182</v>
      </c>
      <c r="B15" s="3375"/>
      <c r="C15" s="3375" t="s">
        <v>123</v>
      </c>
      <c r="D15" s="3376" t="s">
        <v>5202</v>
      </c>
      <c r="E15" s="2697" t="s">
        <v>5203</v>
      </c>
      <c r="F15" s="2710"/>
      <c r="G15" s="2697"/>
      <c r="H15" s="2700"/>
      <c r="I15" s="2725"/>
      <c r="J15" s="2726"/>
      <c r="K15" s="2726">
        <f>+K16</f>
        <v>1</v>
      </c>
      <c r="L15" s="2790">
        <f>SUM(L16:L17)</f>
        <v>1</v>
      </c>
      <c r="M15" s="2726">
        <f>SUM(M16:M17)</f>
        <v>0</v>
      </c>
      <c r="N15" s="2792">
        <f>SUM(N16:N17)</f>
        <v>0.02</v>
      </c>
      <c r="O15" s="3377">
        <f>IF(Q15&gt;0,N15,"NA")</f>
        <v>0.02</v>
      </c>
      <c r="P15" s="2714">
        <f>SUM(P16:P17)</f>
        <v>173189402088</v>
      </c>
      <c r="Q15" s="2714">
        <f t="shared" ref="Q15:S15" si="2">SUM(Q16:Q17)</f>
        <v>173189402088</v>
      </c>
      <c r="R15" s="2714">
        <f t="shared" si="2"/>
        <v>23589627223</v>
      </c>
      <c r="S15" s="2714">
        <f t="shared" si="2"/>
        <v>23543499223</v>
      </c>
      <c r="T15" s="2810">
        <f t="shared" si="1"/>
        <v>0.13620710585405091</v>
      </c>
      <c r="U15" s="2810">
        <f>+IF(R15=0,0,S15/R15)</f>
        <v>0.99804456426700017</v>
      </c>
      <c r="V15" s="2700"/>
      <c r="W15" s="2722"/>
      <c r="X15" s="2716"/>
      <c r="Y15" s="3374" t="s">
        <v>5192</v>
      </c>
    </row>
    <row r="16" spans="1:25" ht="66">
      <c r="A16" s="3374"/>
      <c r="B16" s="3375"/>
      <c r="C16" s="3375"/>
      <c r="D16" s="3376"/>
      <c r="E16" s="2697" t="s">
        <v>5204</v>
      </c>
      <c r="F16" s="2710"/>
      <c r="G16" s="2697" t="s">
        <v>5205</v>
      </c>
      <c r="H16" s="2700"/>
      <c r="I16" s="2726" t="s">
        <v>5206</v>
      </c>
      <c r="J16" s="2726" t="s">
        <v>5207</v>
      </c>
      <c r="K16" s="2726">
        <v>1</v>
      </c>
      <c r="L16" s="2790">
        <v>0.8</v>
      </c>
      <c r="M16" s="2726">
        <v>0</v>
      </c>
      <c r="N16" s="2792">
        <v>0</v>
      </c>
      <c r="O16" s="3377"/>
      <c r="P16" s="2714">
        <v>169550462088</v>
      </c>
      <c r="Q16" s="2714">
        <v>169550462088</v>
      </c>
      <c r="R16" s="2714">
        <v>23405115223</v>
      </c>
      <c r="S16" s="2714">
        <v>23405115223</v>
      </c>
      <c r="T16" s="2810">
        <f t="shared" si="1"/>
        <v>0.13804217891693088</v>
      </c>
      <c r="U16" s="2810">
        <f>+IF(R16=0,0,S16/R16)</f>
        <v>1</v>
      </c>
      <c r="V16" s="2715">
        <v>45321</v>
      </c>
      <c r="W16" s="2715">
        <v>45657</v>
      </c>
      <c r="X16" s="2716" t="s">
        <v>5208</v>
      </c>
      <c r="Y16" s="3374"/>
    </row>
    <row r="17" spans="1:25" ht="79.2">
      <c r="A17" s="3374"/>
      <c r="B17" s="3375"/>
      <c r="C17" s="3375"/>
      <c r="D17" s="3376"/>
      <c r="E17" s="2713" t="s">
        <v>5209</v>
      </c>
      <c r="F17" s="2710"/>
      <c r="G17" s="2700"/>
      <c r="H17" s="2700"/>
      <c r="I17" s="2726" t="s">
        <v>5210</v>
      </c>
      <c r="J17" s="2726" t="s">
        <v>5211</v>
      </c>
      <c r="K17" s="2726">
        <v>8</v>
      </c>
      <c r="L17" s="2790">
        <v>0.2</v>
      </c>
      <c r="M17" s="2726">
        <v>0</v>
      </c>
      <c r="N17" s="2792">
        <v>0.02</v>
      </c>
      <c r="O17" s="3377"/>
      <c r="P17" s="2714">
        <v>3638940000</v>
      </c>
      <c r="Q17" s="2714">
        <v>3638940000</v>
      </c>
      <c r="R17" s="2714">
        <v>184512000</v>
      </c>
      <c r="S17" s="2714">
        <v>138384000</v>
      </c>
      <c r="T17" s="2810">
        <f t="shared" si="1"/>
        <v>5.0704875595640492E-2</v>
      </c>
      <c r="U17" s="2810">
        <f>+IF(R17=0,0,S17/R17)</f>
        <v>0.75</v>
      </c>
      <c r="V17" s="2715">
        <v>45321</v>
      </c>
      <c r="W17" s="2715">
        <v>45657</v>
      </c>
      <c r="X17" s="2724" t="s">
        <v>5212</v>
      </c>
      <c r="Y17" s="3374"/>
    </row>
    <row r="18" spans="1:25">
      <c r="A18" s="2718"/>
      <c r="B18" s="2718">
        <v>51030010023</v>
      </c>
      <c r="C18" s="2718" t="s">
        <v>117</v>
      </c>
      <c r="D18" s="2703" t="s">
        <v>5213</v>
      </c>
      <c r="E18" s="2697"/>
      <c r="F18" s="2719"/>
      <c r="G18" s="2697"/>
      <c r="H18" s="2700"/>
      <c r="I18" s="2726"/>
      <c r="J18" s="2726"/>
      <c r="K18" s="2726"/>
      <c r="L18" s="2726"/>
      <c r="M18" s="2721"/>
      <c r="N18" s="2805"/>
      <c r="O18" s="2805"/>
      <c r="P18" s="2720"/>
      <c r="Q18" s="2721"/>
      <c r="R18" s="2721"/>
      <c r="S18" s="2721"/>
      <c r="T18" s="2812"/>
      <c r="U18" s="2812"/>
      <c r="V18" s="2715"/>
      <c r="W18" s="2715"/>
      <c r="X18" s="2723"/>
      <c r="Y18" s="2694"/>
    </row>
    <row r="19" spans="1:25">
      <c r="A19" s="3374">
        <v>4182</v>
      </c>
      <c r="B19" s="3374"/>
      <c r="C19" s="3374" t="s">
        <v>123</v>
      </c>
      <c r="D19" s="3376" t="s">
        <v>5214</v>
      </c>
      <c r="E19" s="2697" t="s">
        <v>5215</v>
      </c>
      <c r="F19" s="2710"/>
      <c r="G19" s="2725"/>
      <c r="H19" s="2700"/>
      <c r="I19" s="2726"/>
      <c r="J19" s="2725"/>
      <c r="K19" s="2726">
        <f>+K20</f>
        <v>1</v>
      </c>
      <c r="L19" s="2790">
        <f>SUM(L20:L21)</f>
        <v>1</v>
      </c>
      <c r="M19" s="2726">
        <f>SUM(M20:M21)</f>
        <v>0</v>
      </c>
      <c r="N19" s="2792">
        <f>SUM(N20:N21)</f>
        <v>0</v>
      </c>
      <c r="O19" s="3377">
        <f>IF(Q19&gt;0,N19,"NA")</f>
        <v>0</v>
      </c>
      <c r="P19" s="2714">
        <f>SUM(P20:P21)</f>
        <v>15345399135</v>
      </c>
      <c r="Q19" s="2714">
        <f t="shared" ref="Q19:S19" si="3">SUM(Q20:Q21)</f>
        <v>15345399135</v>
      </c>
      <c r="R19" s="2714">
        <f t="shared" si="3"/>
        <v>0</v>
      </c>
      <c r="S19" s="2714">
        <f t="shared" si="3"/>
        <v>0</v>
      </c>
      <c r="T19" s="2810">
        <f t="shared" si="1"/>
        <v>0</v>
      </c>
      <c r="U19" s="2810">
        <f>+IF(R19=0,0,S19/R19)</f>
        <v>0</v>
      </c>
      <c r="V19" s="2700"/>
      <c r="W19" s="2708"/>
      <c r="X19" s="2716"/>
      <c r="Y19" s="3374" t="s">
        <v>5192</v>
      </c>
    </row>
    <row r="20" spans="1:25" ht="66">
      <c r="A20" s="3374"/>
      <c r="B20" s="3374"/>
      <c r="C20" s="3374"/>
      <c r="D20" s="3376"/>
      <c r="E20" s="2697" t="s">
        <v>5216</v>
      </c>
      <c r="F20" s="2710"/>
      <c r="G20" s="2697" t="s">
        <v>5217</v>
      </c>
      <c r="H20" s="2700"/>
      <c r="I20" s="2726" t="s">
        <v>5218</v>
      </c>
      <c r="J20" s="2726" t="s">
        <v>5219</v>
      </c>
      <c r="K20" s="2726">
        <v>1</v>
      </c>
      <c r="L20" s="2790">
        <v>0.9</v>
      </c>
      <c r="M20" s="2726">
        <v>0</v>
      </c>
      <c r="N20" s="2792">
        <v>0</v>
      </c>
      <c r="O20" s="3377"/>
      <c r="P20" s="2714">
        <v>14952676043</v>
      </c>
      <c r="Q20" s="2714">
        <v>14952676043</v>
      </c>
      <c r="R20" s="2714">
        <v>0</v>
      </c>
      <c r="S20" s="2714">
        <v>0</v>
      </c>
      <c r="T20" s="2810">
        <f t="shared" si="1"/>
        <v>0</v>
      </c>
      <c r="U20" s="2810">
        <f>+IF(R20=0,0,S20/R20)</f>
        <v>0</v>
      </c>
      <c r="V20" s="2715"/>
      <c r="W20" s="2715"/>
      <c r="X20" s="2716"/>
      <c r="Y20" s="3374"/>
    </row>
    <row r="21" spans="1:25" ht="39.6">
      <c r="A21" s="3374"/>
      <c r="B21" s="3374"/>
      <c r="C21" s="3374"/>
      <c r="D21" s="3376"/>
      <c r="E21" s="2697" t="s">
        <v>5220</v>
      </c>
      <c r="F21" s="2710"/>
      <c r="G21" s="2726"/>
      <c r="H21" s="2700"/>
      <c r="I21" s="2726" t="s">
        <v>5221</v>
      </c>
      <c r="J21" s="2726" t="s">
        <v>5211</v>
      </c>
      <c r="K21" s="2726">
        <v>4</v>
      </c>
      <c r="L21" s="2790">
        <v>0.1</v>
      </c>
      <c r="M21" s="2726">
        <v>0</v>
      </c>
      <c r="N21" s="2792">
        <v>0</v>
      </c>
      <c r="O21" s="3377"/>
      <c r="P21" s="2714">
        <v>392723092</v>
      </c>
      <c r="Q21" s="2714">
        <v>392723092</v>
      </c>
      <c r="R21" s="2714">
        <v>0</v>
      </c>
      <c r="S21" s="2714">
        <v>0</v>
      </c>
      <c r="T21" s="2810">
        <f t="shared" si="1"/>
        <v>0</v>
      </c>
      <c r="U21" s="2810">
        <f>+IF(R21=0,0,S21/R21)</f>
        <v>0</v>
      </c>
      <c r="V21" s="2715"/>
      <c r="W21" s="2715"/>
      <c r="X21" s="2716"/>
      <c r="Y21" s="3374"/>
    </row>
    <row r="22" spans="1:25" ht="15.6">
      <c r="A22" s="2727"/>
      <c r="B22" s="2683">
        <v>52</v>
      </c>
      <c r="C22" s="2683" t="s">
        <v>114</v>
      </c>
      <c r="D22" s="2728" t="s">
        <v>162</v>
      </c>
      <c r="E22" s="2684"/>
      <c r="F22" s="2729"/>
      <c r="G22" s="2684"/>
      <c r="H22" s="2683"/>
      <c r="I22" s="2783"/>
      <c r="J22" s="2787"/>
      <c r="K22" s="2783"/>
      <c r="L22" s="2783"/>
      <c r="M22" s="2721"/>
      <c r="N22" s="2805"/>
      <c r="O22" s="2805"/>
      <c r="P22" s="2730"/>
      <c r="Q22" s="2721"/>
      <c r="R22" s="2721"/>
      <c r="S22" s="2721"/>
      <c r="T22" s="2812"/>
      <c r="U22" s="2812"/>
      <c r="V22" s="2715"/>
      <c r="W22" s="2715"/>
      <c r="X22" s="2723"/>
      <c r="Y22" s="2682"/>
    </row>
    <row r="23" spans="1:25" ht="15.6">
      <c r="A23" s="2683"/>
      <c r="B23" s="2683">
        <v>5203</v>
      </c>
      <c r="C23" s="2683" t="s">
        <v>115</v>
      </c>
      <c r="D23" s="2684" t="s">
        <v>163</v>
      </c>
      <c r="E23" s="2684"/>
      <c r="F23" s="2731"/>
      <c r="G23" s="2684"/>
      <c r="H23" s="2683"/>
      <c r="I23" s="2783"/>
      <c r="J23" s="2783"/>
      <c r="K23" s="2783"/>
      <c r="L23" s="2783"/>
      <c r="M23" s="2721"/>
      <c r="N23" s="2805"/>
      <c r="O23" s="2805"/>
      <c r="P23" s="2730"/>
      <c r="Q23" s="2721"/>
      <c r="R23" s="2721"/>
      <c r="S23" s="2721"/>
      <c r="T23" s="2812"/>
      <c r="U23" s="2812"/>
      <c r="V23" s="2682"/>
      <c r="W23" s="2682"/>
      <c r="X23" s="2723"/>
      <c r="Y23" s="2682"/>
    </row>
    <row r="24" spans="1:25" ht="15.6">
      <c r="A24" s="2695"/>
      <c r="B24" s="2695">
        <v>5203009</v>
      </c>
      <c r="C24" s="2695" t="s">
        <v>116</v>
      </c>
      <c r="D24" s="2696" t="s">
        <v>179</v>
      </c>
      <c r="E24" s="2697"/>
      <c r="F24" s="2710"/>
      <c r="G24" s="2697"/>
      <c r="H24" s="2700"/>
      <c r="I24" s="2726"/>
      <c r="J24" s="2726"/>
      <c r="K24" s="2726"/>
      <c r="L24" s="2726"/>
      <c r="M24" s="2721"/>
      <c r="N24" s="2805"/>
      <c r="O24" s="2805"/>
      <c r="P24" s="2730"/>
      <c r="Q24" s="2721"/>
      <c r="R24" s="2721"/>
      <c r="S24" s="2721"/>
      <c r="T24" s="2812"/>
      <c r="U24" s="2812"/>
      <c r="V24" s="2682"/>
      <c r="W24" s="2682"/>
      <c r="X24" s="2723"/>
      <c r="Y24" s="2694"/>
    </row>
    <row r="25" spans="1:25">
      <c r="A25" s="2702"/>
      <c r="B25" s="2702" t="s">
        <v>5222</v>
      </c>
      <c r="C25" s="2702" t="s">
        <v>117</v>
      </c>
      <c r="D25" s="2703" t="s">
        <v>5223</v>
      </c>
      <c r="E25" s="2711"/>
      <c r="F25" s="2719"/>
      <c r="G25" s="2697"/>
      <c r="H25" s="2700"/>
      <c r="I25" s="2726"/>
      <c r="J25" s="2726"/>
      <c r="K25" s="2726"/>
      <c r="L25" s="2726"/>
      <c r="M25" s="2721"/>
      <c r="N25" s="2805"/>
      <c r="O25" s="2805"/>
      <c r="P25" s="2720"/>
      <c r="Q25" s="2721"/>
      <c r="R25" s="2721"/>
      <c r="S25" s="2721"/>
      <c r="T25" s="2812"/>
      <c r="U25" s="2812"/>
      <c r="V25" s="2694"/>
      <c r="W25" s="2694"/>
      <c r="X25" s="2723"/>
      <c r="Y25" s="2694"/>
    </row>
    <row r="26" spans="1:25">
      <c r="A26" s="3374">
        <v>4182</v>
      </c>
      <c r="B26" s="3374"/>
      <c r="C26" s="3374" t="s">
        <v>123</v>
      </c>
      <c r="D26" s="3376" t="s">
        <v>5224</v>
      </c>
      <c r="E26" s="2697" t="s">
        <v>5225</v>
      </c>
      <c r="F26" s="2710"/>
      <c r="G26" s="2697"/>
      <c r="H26" s="2700"/>
      <c r="I26" s="2726"/>
      <c r="J26" s="2726"/>
      <c r="K26" s="2726">
        <f>+K28</f>
        <v>3</v>
      </c>
      <c r="L26" s="2790">
        <f>SUM(L27:L28)</f>
        <v>1</v>
      </c>
      <c r="M26" s="2726">
        <f>SUM(M27:M28)</f>
        <v>0</v>
      </c>
      <c r="N26" s="2792">
        <f>SUM(N27:N28)</f>
        <v>0</v>
      </c>
      <c r="O26" s="3378">
        <f>IF(Q26&gt;0,N26,"NA")</f>
        <v>0</v>
      </c>
      <c r="P26" s="2714">
        <f>SUM(P27:P28)</f>
        <v>5498700063</v>
      </c>
      <c r="Q26" s="2714">
        <f t="shared" ref="Q26:S26" si="4">SUM(Q27:Q28)</f>
        <v>5498700063</v>
      </c>
      <c r="R26" s="2714">
        <f t="shared" si="4"/>
        <v>201380000</v>
      </c>
      <c r="S26" s="2714">
        <f t="shared" si="4"/>
        <v>135342000</v>
      </c>
      <c r="T26" s="2810">
        <f t="shared" ref="T26:T28" si="5">+IF(Q26=0,0,R26/Q26)</f>
        <v>3.6623201428108154E-2</v>
      </c>
      <c r="U26" s="2810">
        <f>+IF(R26=0,0,S26/R26)</f>
        <v>0.6720726983811699</v>
      </c>
      <c r="V26" s="2694"/>
      <c r="W26" s="2694"/>
      <c r="X26" s="2716"/>
      <c r="Y26" s="3374" t="s">
        <v>5192</v>
      </c>
    </row>
    <row r="27" spans="1:25" ht="42.6" customHeight="1">
      <c r="A27" s="3374"/>
      <c r="B27" s="3374"/>
      <c r="C27" s="3374"/>
      <c r="D27" s="3376"/>
      <c r="E27" s="2697" t="s">
        <v>5226</v>
      </c>
      <c r="F27" s="2710"/>
      <c r="G27" s="2711"/>
      <c r="H27" s="2700"/>
      <c r="I27" s="2725" t="s">
        <v>5227</v>
      </c>
      <c r="J27" s="2726" t="s">
        <v>5228</v>
      </c>
      <c r="K27" s="2726">
        <v>5</v>
      </c>
      <c r="L27" s="2790">
        <v>0.15</v>
      </c>
      <c r="M27" s="2726">
        <v>0</v>
      </c>
      <c r="N27" s="2792">
        <v>0</v>
      </c>
      <c r="O27" s="3378"/>
      <c r="P27" s="2732">
        <v>1218162605</v>
      </c>
      <c r="Q27" s="2732">
        <v>1218162605</v>
      </c>
      <c r="R27" s="2732">
        <v>0</v>
      </c>
      <c r="S27" s="2732">
        <v>0</v>
      </c>
      <c r="T27" s="2810">
        <f t="shared" si="5"/>
        <v>0</v>
      </c>
      <c r="U27" s="2810">
        <f>+IF(R27=0,0,S27/R27)</f>
        <v>0</v>
      </c>
      <c r="V27" s="2715"/>
      <c r="W27" s="2715"/>
      <c r="X27" s="2697"/>
      <c r="Y27" s="3374"/>
    </row>
    <row r="28" spans="1:25" ht="145.19999999999999">
      <c r="A28" s="3374"/>
      <c r="B28" s="3374"/>
      <c r="C28" s="3374"/>
      <c r="D28" s="3376"/>
      <c r="E28" s="2697" t="s">
        <v>5229</v>
      </c>
      <c r="F28" s="2710"/>
      <c r="G28" s="2697" t="s">
        <v>5230</v>
      </c>
      <c r="H28" s="2700"/>
      <c r="I28" s="2725" t="s">
        <v>5231</v>
      </c>
      <c r="J28" s="2726" t="s">
        <v>5232</v>
      </c>
      <c r="K28" s="2726">
        <v>3</v>
      </c>
      <c r="L28" s="2790">
        <v>0.85</v>
      </c>
      <c r="M28" s="2726">
        <v>0</v>
      </c>
      <c r="N28" s="2792">
        <v>0</v>
      </c>
      <c r="O28" s="3378"/>
      <c r="P28" s="2732">
        <v>4280537458</v>
      </c>
      <c r="Q28" s="2732">
        <v>4280537458</v>
      </c>
      <c r="R28" s="2789">
        <v>201380000</v>
      </c>
      <c r="S28" s="2726">
        <v>135342000</v>
      </c>
      <c r="T28" s="2810">
        <f t="shared" si="5"/>
        <v>4.7045494164205025E-2</v>
      </c>
      <c r="U28" s="2810">
        <f>+IF(R28=0,0,S28/R28)</f>
        <v>0.6720726983811699</v>
      </c>
      <c r="V28" s="2715">
        <v>45321</v>
      </c>
      <c r="W28" s="2715">
        <v>45657</v>
      </c>
      <c r="X28" s="2716" t="s">
        <v>5233</v>
      </c>
      <c r="Y28" s="3374"/>
    </row>
    <row r="29" spans="1:25">
      <c r="A29" s="2702"/>
      <c r="B29" s="2702">
        <v>52030090003</v>
      </c>
      <c r="C29" s="2702" t="s">
        <v>117</v>
      </c>
      <c r="D29" s="2703" t="s">
        <v>5234</v>
      </c>
      <c r="E29" s="2697"/>
      <c r="F29" s="2719"/>
      <c r="G29" s="2697"/>
      <c r="H29" s="2700"/>
      <c r="I29" s="2726"/>
      <c r="J29" s="2726"/>
      <c r="K29" s="2726"/>
      <c r="L29" s="2726"/>
      <c r="M29" s="2721"/>
      <c r="N29" s="2805"/>
      <c r="O29" s="2805"/>
      <c r="P29" s="2730"/>
      <c r="Q29" s="2721"/>
      <c r="R29" s="2721"/>
      <c r="S29" s="2721"/>
      <c r="T29" s="2812"/>
      <c r="U29" s="2812"/>
      <c r="V29" s="2715"/>
      <c r="W29" s="2715"/>
      <c r="X29" s="2723"/>
      <c r="Y29" s="2694"/>
    </row>
    <row r="30" spans="1:25">
      <c r="A30" s="3386">
        <v>4182</v>
      </c>
      <c r="B30" s="3386"/>
      <c r="C30" s="3374" t="s">
        <v>123</v>
      </c>
      <c r="D30" s="3376" t="s">
        <v>5235</v>
      </c>
      <c r="E30" s="2697" t="s">
        <v>5236</v>
      </c>
      <c r="F30" s="2710"/>
      <c r="G30" s="2711"/>
      <c r="H30" s="2700"/>
      <c r="I30" s="2726"/>
      <c r="J30" s="2726"/>
      <c r="K30" s="2726">
        <f>K32</f>
        <v>6</v>
      </c>
      <c r="L30" s="2790">
        <f>SUM(L31:L32)</f>
        <v>1</v>
      </c>
      <c r="M30" s="2726">
        <f>SUM(M31)</f>
        <v>0</v>
      </c>
      <c r="N30" s="2792">
        <f>SUM(N31)</f>
        <v>0</v>
      </c>
      <c r="O30" s="3378">
        <f>IF(P30&gt;0,N30,"NA")</f>
        <v>0</v>
      </c>
      <c r="P30" s="2714">
        <f>SUM(P31:P32)</f>
        <v>2328131963</v>
      </c>
      <c r="Q30" s="2714">
        <f>SUM(Q31:Q32)</f>
        <v>2328131963</v>
      </c>
      <c r="R30" s="2714">
        <f>SUM(R31:R32)</f>
        <v>0</v>
      </c>
      <c r="S30" s="2714">
        <f>SUM(S31:S32)</f>
        <v>0</v>
      </c>
      <c r="T30" s="2810">
        <f t="shared" ref="T30:T32" si="6">+IF(Q30=0,0,R30/Q30)</f>
        <v>0</v>
      </c>
      <c r="U30" s="2810">
        <f>+IF(R30=0,0,S30/R30)</f>
        <v>0</v>
      </c>
      <c r="V30" s="2694"/>
      <c r="W30" s="2694"/>
      <c r="X30" s="2716"/>
      <c r="Y30" s="3374" t="s">
        <v>5237</v>
      </c>
    </row>
    <row r="31" spans="1:25" ht="26.4">
      <c r="A31" s="3387"/>
      <c r="B31" s="3387"/>
      <c r="C31" s="3374"/>
      <c r="D31" s="3376"/>
      <c r="E31" s="2697" t="s">
        <v>5238</v>
      </c>
      <c r="F31" s="2710"/>
      <c r="G31" s="2697"/>
      <c r="H31" s="2700"/>
      <c r="I31" s="2726" t="s">
        <v>5239</v>
      </c>
      <c r="J31" s="2726" t="s">
        <v>5228</v>
      </c>
      <c r="K31" s="2726">
        <v>3</v>
      </c>
      <c r="L31" s="2790">
        <v>0.15</v>
      </c>
      <c r="M31" s="2726">
        <v>0</v>
      </c>
      <c r="N31" s="2792">
        <v>0</v>
      </c>
      <c r="O31" s="3378"/>
      <c r="P31" s="2732">
        <v>263004085</v>
      </c>
      <c r="Q31" s="2732">
        <v>263004085</v>
      </c>
      <c r="R31" s="2732">
        <v>0</v>
      </c>
      <c r="S31" s="2732">
        <v>0</v>
      </c>
      <c r="T31" s="2810">
        <f t="shared" si="6"/>
        <v>0</v>
      </c>
      <c r="U31" s="2810">
        <f>+IF(R31=0,0,S31/R31)</f>
        <v>0</v>
      </c>
      <c r="V31" s="2715"/>
      <c r="W31" s="2715"/>
      <c r="X31" s="2716"/>
      <c r="Y31" s="3374"/>
    </row>
    <row r="32" spans="1:25" ht="39.6">
      <c r="A32" s="3388"/>
      <c r="B32" s="3388"/>
      <c r="C32" s="3374"/>
      <c r="D32" s="3376"/>
      <c r="E32" s="2697" t="s">
        <v>5240</v>
      </c>
      <c r="F32" s="2710"/>
      <c r="G32" s="2697" t="s">
        <v>5241</v>
      </c>
      <c r="H32" s="2700"/>
      <c r="I32" s="2726" t="s">
        <v>5242</v>
      </c>
      <c r="J32" s="2613" t="s">
        <v>5243</v>
      </c>
      <c r="K32" s="2726">
        <v>6</v>
      </c>
      <c r="L32" s="2790">
        <v>0.85</v>
      </c>
      <c r="M32" s="2726">
        <v>0</v>
      </c>
      <c r="N32" s="2792">
        <v>0</v>
      </c>
      <c r="O32" s="3378"/>
      <c r="P32" s="2732">
        <v>2065127878</v>
      </c>
      <c r="Q32" s="2732">
        <v>2065127878</v>
      </c>
      <c r="R32" s="2732">
        <v>0</v>
      </c>
      <c r="S32" s="2732">
        <v>0</v>
      </c>
      <c r="T32" s="2810">
        <f t="shared" si="6"/>
        <v>0</v>
      </c>
      <c r="U32" s="2810">
        <f>+IF(R32=0,0,S32/R32)</f>
        <v>0</v>
      </c>
      <c r="V32" s="2715"/>
      <c r="W32" s="2715"/>
      <c r="X32" s="2716"/>
      <c r="Y32" s="3374"/>
    </row>
    <row r="33" spans="1:25" ht="41.4">
      <c r="A33" s="2713"/>
      <c r="B33" s="2702">
        <v>52030090004</v>
      </c>
      <c r="C33" s="2702" t="s">
        <v>117</v>
      </c>
      <c r="D33" s="2733" t="s">
        <v>5244</v>
      </c>
      <c r="E33" s="2697"/>
      <c r="F33" s="2719"/>
      <c r="G33" s="2711"/>
      <c r="H33" s="2700"/>
      <c r="I33" s="2726"/>
      <c r="J33" s="2726"/>
      <c r="K33" s="2726"/>
      <c r="L33" s="2726"/>
      <c r="M33" s="2721"/>
      <c r="N33" s="2805"/>
      <c r="O33" s="2805"/>
      <c r="P33" s="2734"/>
      <c r="Q33" s="2721"/>
      <c r="R33" s="2721"/>
      <c r="S33" s="2721"/>
      <c r="T33" s="2812"/>
      <c r="U33" s="2812"/>
      <c r="V33" s="2715"/>
      <c r="W33" s="2715"/>
      <c r="X33" s="2723"/>
      <c r="Y33" s="2694"/>
    </row>
    <row r="34" spans="1:25">
      <c r="A34" s="3374">
        <v>4182</v>
      </c>
      <c r="B34" s="3374"/>
      <c r="C34" s="3374" t="s">
        <v>123</v>
      </c>
      <c r="D34" s="3376" t="s">
        <v>5245</v>
      </c>
      <c r="E34" s="2697" t="s">
        <v>5246</v>
      </c>
      <c r="F34" s="2719"/>
      <c r="G34" s="2697"/>
      <c r="H34" s="2712"/>
      <c r="I34" s="2726"/>
      <c r="J34" s="2725"/>
      <c r="K34" s="2789">
        <f>+K35</f>
        <v>462205</v>
      </c>
      <c r="L34" s="2790">
        <f>SUM(L35:L36)</f>
        <v>1</v>
      </c>
      <c r="M34" s="2789">
        <f>SUM(M35)</f>
        <v>0</v>
      </c>
      <c r="N34" s="2792">
        <f>SUM(N35)</f>
        <v>0</v>
      </c>
      <c r="O34" s="3378">
        <f>IF(P34&gt;0,N34,"NA")</f>
        <v>0</v>
      </c>
      <c r="P34" s="2714">
        <f>SUM(P35)</f>
        <v>30826111642</v>
      </c>
      <c r="Q34" s="2714">
        <f t="shared" ref="Q34:S34" si="7">SUM(Q35)</f>
        <v>30826111642</v>
      </c>
      <c r="R34" s="2714">
        <f t="shared" si="7"/>
        <v>23154000</v>
      </c>
      <c r="S34" s="2714">
        <f t="shared" si="7"/>
        <v>12156000</v>
      </c>
      <c r="T34" s="2810">
        <f t="shared" ref="T34:T35" si="8">+IF(Q34=0,0,R34/Q34)</f>
        <v>7.511164647977563E-4</v>
      </c>
      <c r="U34" s="2810">
        <f>+IF(R34=0,0,S34/R34)</f>
        <v>0.52500647836226999</v>
      </c>
      <c r="V34" s="2694"/>
      <c r="W34" s="2694"/>
      <c r="X34" s="2716"/>
      <c r="Y34" s="3374" t="s">
        <v>5237</v>
      </c>
    </row>
    <row r="35" spans="1:25" ht="105.6">
      <c r="A35" s="3374"/>
      <c r="B35" s="3374"/>
      <c r="C35" s="3374"/>
      <c r="D35" s="3376"/>
      <c r="E35" s="2697" t="s">
        <v>5247</v>
      </c>
      <c r="F35" s="2697"/>
      <c r="G35" s="2697" t="s">
        <v>5244</v>
      </c>
      <c r="H35" s="2712"/>
      <c r="I35" s="2726" t="s">
        <v>5248</v>
      </c>
      <c r="J35" s="2726" t="s">
        <v>5249</v>
      </c>
      <c r="K35" s="2789">
        <v>462205</v>
      </c>
      <c r="L35" s="2790">
        <v>1</v>
      </c>
      <c r="M35" s="2789">
        <v>0</v>
      </c>
      <c r="N35" s="2792">
        <v>0</v>
      </c>
      <c r="O35" s="3378"/>
      <c r="P35" s="2732">
        <v>30826111642</v>
      </c>
      <c r="Q35" s="2732">
        <v>30826111642</v>
      </c>
      <c r="R35" s="2732">
        <v>23154000</v>
      </c>
      <c r="S35" s="2732">
        <v>12156000</v>
      </c>
      <c r="T35" s="2810">
        <f t="shared" si="8"/>
        <v>7.511164647977563E-4</v>
      </c>
      <c r="U35" s="2810">
        <f>+IF(R35=0,0,S35/R35)</f>
        <v>0.52500647836226999</v>
      </c>
      <c r="V35" s="2715">
        <v>45321</v>
      </c>
      <c r="W35" s="2715">
        <v>45657</v>
      </c>
      <c r="X35" s="2716" t="s">
        <v>5250</v>
      </c>
      <c r="Y35" s="3374"/>
    </row>
    <row r="36" spans="1:25">
      <c r="A36" s="2702"/>
      <c r="B36" s="2702">
        <v>52030090005</v>
      </c>
      <c r="C36" s="2702" t="s">
        <v>117</v>
      </c>
      <c r="D36" s="2703" t="s">
        <v>5251</v>
      </c>
      <c r="E36" s="2711"/>
      <c r="F36" s="2712"/>
      <c r="G36" s="2711"/>
      <c r="H36" s="2700"/>
      <c r="I36" s="2726"/>
      <c r="J36" s="2726"/>
      <c r="K36" s="2726"/>
      <c r="L36" s="2726"/>
      <c r="M36" s="2721"/>
      <c r="N36" s="2805"/>
      <c r="O36" s="2805"/>
      <c r="P36" s="2734"/>
      <c r="Q36" s="2721"/>
      <c r="R36" s="2721"/>
      <c r="S36" s="2721"/>
      <c r="T36" s="2812"/>
      <c r="U36" s="2812"/>
      <c r="V36" s="2715"/>
      <c r="W36" s="2715"/>
      <c r="X36" s="2723"/>
      <c r="Y36" s="2694"/>
    </row>
    <row r="37" spans="1:25">
      <c r="A37" s="3374">
        <v>4182</v>
      </c>
      <c r="B37" s="3374"/>
      <c r="C37" s="3374" t="s">
        <v>123</v>
      </c>
      <c r="D37" s="3379" t="s">
        <v>5252</v>
      </c>
      <c r="E37" s="2697" t="s">
        <v>5253</v>
      </c>
      <c r="F37" s="2719"/>
      <c r="G37" s="2735"/>
      <c r="H37" s="2712"/>
      <c r="I37" s="2726"/>
      <c r="J37" s="2726"/>
      <c r="K37" s="2789">
        <f>+K38</f>
        <v>266426</v>
      </c>
      <c r="L37" s="2790">
        <f>SUM(L38:L39)</f>
        <v>1</v>
      </c>
      <c r="M37" s="2789">
        <f>SUM(M38)</f>
        <v>0</v>
      </c>
      <c r="N37" s="2792">
        <f>N38</f>
        <v>0</v>
      </c>
      <c r="O37" s="3378">
        <f>IF(P37&gt;0,N37,"NA")</f>
        <v>0</v>
      </c>
      <c r="P37" s="2714">
        <f>SUM(P38)</f>
        <v>24791608572</v>
      </c>
      <c r="Q37" s="2714">
        <f t="shared" ref="Q37:S37" si="9">SUM(Q38)</f>
        <v>24791608572</v>
      </c>
      <c r="R37" s="2714">
        <f t="shared" si="9"/>
        <v>131890000</v>
      </c>
      <c r="S37" s="2714">
        <f t="shared" si="9"/>
        <v>82323831</v>
      </c>
      <c r="T37" s="2810">
        <f t="shared" ref="T37:T38" si="10">+IF(Q37=0,0,R37/Q37)</f>
        <v>5.3199452394129222E-3</v>
      </c>
      <c r="U37" s="2810">
        <f>+IF(R37=0,0,S37/R37)</f>
        <v>0.62418554098112067</v>
      </c>
      <c r="V37" s="2694"/>
      <c r="W37" s="2694"/>
      <c r="X37" s="2716"/>
      <c r="Y37" s="3374" t="s">
        <v>5237</v>
      </c>
    </row>
    <row r="38" spans="1:25" ht="79.2">
      <c r="A38" s="3374"/>
      <c r="B38" s="3374"/>
      <c r="C38" s="3374"/>
      <c r="D38" s="3379"/>
      <c r="E38" s="2697" t="s">
        <v>5254</v>
      </c>
      <c r="F38" s="2719"/>
      <c r="G38" s="2711" t="s">
        <v>5249</v>
      </c>
      <c r="H38" s="2712"/>
      <c r="I38" s="2726" t="s">
        <v>5255</v>
      </c>
      <c r="J38" s="2726" t="s">
        <v>5249</v>
      </c>
      <c r="K38" s="2789">
        <v>266426</v>
      </c>
      <c r="L38" s="2790">
        <v>1</v>
      </c>
      <c r="M38" s="2789">
        <v>0</v>
      </c>
      <c r="N38" s="2792">
        <v>0</v>
      </c>
      <c r="O38" s="3378"/>
      <c r="P38" s="2732">
        <v>24791608572</v>
      </c>
      <c r="Q38" s="2732">
        <v>24791608572</v>
      </c>
      <c r="R38" s="2732">
        <v>131890000</v>
      </c>
      <c r="S38" s="2732">
        <v>82323831</v>
      </c>
      <c r="T38" s="2810">
        <f t="shared" si="10"/>
        <v>5.3199452394129222E-3</v>
      </c>
      <c r="U38" s="2810">
        <f>+IF(R38=0,0,S38/R38)</f>
        <v>0.62418554098112067</v>
      </c>
      <c r="V38" s="2715">
        <v>45321</v>
      </c>
      <c r="W38" s="2715">
        <v>45657</v>
      </c>
      <c r="X38" s="2724" t="s">
        <v>5256</v>
      </c>
      <c r="Y38" s="3374"/>
    </row>
    <row r="39" spans="1:25" ht="27.6">
      <c r="A39" s="2702"/>
      <c r="B39" s="2702">
        <v>52030090008</v>
      </c>
      <c r="C39" s="2702" t="s">
        <v>117</v>
      </c>
      <c r="D39" s="2703" t="s">
        <v>5257</v>
      </c>
      <c r="E39" s="2725"/>
      <c r="F39" s="2712"/>
      <c r="G39" s="2700"/>
      <c r="H39" s="2700"/>
      <c r="I39" s="2726"/>
      <c r="J39" s="2726"/>
      <c r="K39" s="2726"/>
      <c r="L39" s="2726"/>
      <c r="M39" s="2721"/>
      <c r="N39" s="2805"/>
      <c r="O39" s="2805"/>
      <c r="P39" s="2734"/>
      <c r="Q39" s="2721"/>
      <c r="R39" s="2721"/>
      <c r="S39" s="2721"/>
      <c r="T39" s="2812"/>
      <c r="U39" s="2812"/>
      <c r="V39" s="2715"/>
      <c r="W39" s="2715"/>
      <c r="X39" s="2723"/>
      <c r="Y39" s="3374" t="s">
        <v>5237</v>
      </c>
    </row>
    <row r="40" spans="1:25">
      <c r="A40" s="3374">
        <v>4182</v>
      </c>
      <c r="B40" s="3374"/>
      <c r="C40" s="3374" t="s">
        <v>123</v>
      </c>
      <c r="D40" s="3379" t="s">
        <v>5258</v>
      </c>
      <c r="E40" s="2697" t="s">
        <v>5259</v>
      </c>
      <c r="F40" s="2710"/>
      <c r="G40" s="2697"/>
      <c r="H40" s="2712"/>
      <c r="I40" s="2726"/>
      <c r="J40" s="2726"/>
      <c r="K40" s="2789">
        <f>+K41</f>
        <v>6527</v>
      </c>
      <c r="L40" s="2790">
        <f>SUM(L41:L42)</f>
        <v>1</v>
      </c>
      <c r="M40" s="2726">
        <f>SUM(M41)</f>
        <v>0</v>
      </c>
      <c r="N40" s="2792">
        <f>SUM(N41)</f>
        <v>0</v>
      </c>
      <c r="O40" s="3378">
        <f>IF(P40&gt;0,N40,"NA")</f>
        <v>0</v>
      </c>
      <c r="P40" s="2714">
        <f>SUM(P41)</f>
        <v>9850993932</v>
      </c>
      <c r="Q40" s="2714">
        <f t="shared" ref="Q40:S40" si="11">SUM(Q41)</f>
        <v>9850993932</v>
      </c>
      <c r="R40" s="2714">
        <f t="shared" si="11"/>
        <v>0</v>
      </c>
      <c r="S40" s="2714">
        <f t="shared" si="11"/>
        <v>0</v>
      </c>
      <c r="T40" s="2810">
        <f t="shared" ref="T40:T41" si="12">+IF(Q40=0,0,R40/Q40)</f>
        <v>0</v>
      </c>
      <c r="U40" s="2810">
        <f>+IF(R40=0,0,S40/R40)</f>
        <v>0</v>
      </c>
      <c r="V40" s="2715"/>
      <c r="W40" s="2715"/>
      <c r="X40" s="2716"/>
      <c r="Y40" s="3374"/>
    </row>
    <row r="41" spans="1:25" ht="52.8">
      <c r="A41" s="3374"/>
      <c r="B41" s="3374"/>
      <c r="C41" s="3374"/>
      <c r="D41" s="3379"/>
      <c r="E41" s="2697" t="s">
        <v>5260</v>
      </c>
      <c r="F41" s="2700"/>
      <c r="G41" s="2697" t="s">
        <v>5257</v>
      </c>
      <c r="H41" s="2712"/>
      <c r="I41" s="2726" t="s">
        <v>5261</v>
      </c>
      <c r="J41" s="2726" t="s">
        <v>5262</v>
      </c>
      <c r="K41" s="2789">
        <v>6527</v>
      </c>
      <c r="L41" s="2790">
        <v>1</v>
      </c>
      <c r="M41" s="2726">
        <v>0</v>
      </c>
      <c r="N41" s="2792">
        <v>0</v>
      </c>
      <c r="O41" s="3378"/>
      <c r="P41" s="2732">
        <v>9850993932</v>
      </c>
      <c r="Q41" s="2732">
        <v>9850993932</v>
      </c>
      <c r="R41" s="2726">
        <v>0</v>
      </c>
      <c r="S41" s="2726">
        <v>0</v>
      </c>
      <c r="T41" s="2810">
        <f t="shared" si="12"/>
        <v>0</v>
      </c>
      <c r="U41" s="2810">
        <f>+IF(R41=0,0,S41/R41)</f>
        <v>0</v>
      </c>
      <c r="V41" s="2715"/>
      <c r="W41" s="2715"/>
      <c r="X41" s="2716"/>
      <c r="Y41" s="3374"/>
    </row>
    <row r="42" spans="1:25" ht="27.6">
      <c r="A42" s="2702"/>
      <c r="B42" s="2702">
        <v>52030090009</v>
      </c>
      <c r="C42" s="2702" t="s">
        <v>117</v>
      </c>
      <c r="D42" s="2703" t="s">
        <v>5264</v>
      </c>
      <c r="E42" s="2697"/>
      <c r="F42" s="2712"/>
      <c r="G42" s="2697"/>
      <c r="H42" s="2712"/>
      <c r="I42" s="2726"/>
      <c r="J42" s="2726"/>
      <c r="K42" s="2726"/>
      <c r="L42" s="2790"/>
      <c r="M42" s="2721"/>
      <c r="N42" s="2805"/>
      <c r="O42" s="2805"/>
      <c r="P42" s="2734"/>
      <c r="Q42" s="2721"/>
      <c r="R42" s="2721"/>
      <c r="S42" s="2721"/>
      <c r="T42" s="2812"/>
      <c r="U42" s="2812"/>
      <c r="V42" s="2694"/>
      <c r="W42" s="2694"/>
      <c r="X42" s="2723"/>
      <c r="Y42" s="3374" t="s">
        <v>5237</v>
      </c>
    </row>
    <row r="43" spans="1:25">
      <c r="A43" s="3374">
        <v>4182</v>
      </c>
      <c r="B43" s="3374"/>
      <c r="C43" s="3374" t="s">
        <v>123</v>
      </c>
      <c r="D43" s="3376" t="s">
        <v>5265</v>
      </c>
      <c r="E43" s="2697" t="s">
        <v>5266</v>
      </c>
      <c r="F43" s="2713"/>
      <c r="G43" s="2697"/>
      <c r="H43" s="2712"/>
      <c r="I43" s="2726"/>
      <c r="J43" s="2726"/>
      <c r="K43" s="2726">
        <f>+K44</f>
        <v>5</v>
      </c>
      <c r="L43" s="2790">
        <f>SUM(L44:L44)</f>
        <v>1</v>
      </c>
      <c r="M43" s="2726">
        <f>SUM(M44)</f>
        <v>0</v>
      </c>
      <c r="N43" s="2792">
        <f>SUM(N44)</f>
        <v>0</v>
      </c>
      <c r="O43" s="3378">
        <f>IF(P43&gt;0,N43,"NA")</f>
        <v>0</v>
      </c>
      <c r="P43" s="2714">
        <f>SUM(P44)</f>
        <v>865898166</v>
      </c>
      <c r="Q43" s="2714">
        <f t="shared" ref="Q43:S43" si="13">SUM(Q44)</f>
        <v>865898166</v>
      </c>
      <c r="R43" s="2714">
        <f t="shared" si="13"/>
        <v>0</v>
      </c>
      <c r="S43" s="2714">
        <f t="shared" si="13"/>
        <v>0</v>
      </c>
      <c r="T43" s="2810">
        <f t="shared" ref="T43:U48" si="14">+IF(Q43=0,0,R43/Q43)</f>
        <v>0</v>
      </c>
      <c r="U43" s="2810">
        <f t="shared" si="14"/>
        <v>0</v>
      </c>
      <c r="V43" s="2736"/>
      <c r="W43" s="2715"/>
      <c r="X43" s="2716"/>
      <c r="Y43" s="3374"/>
    </row>
    <row r="44" spans="1:25" ht="145.19999999999999">
      <c r="A44" s="3374"/>
      <c r="B44" s="3374"/>
      <c r="C44" s="3374"/>
      <c r="D44" s="3376"/>
      <c r="E44" s="2697" t="s">
        <v>5267</v>
      </c>
      <c r="F44" s="2700"/>
      <c r="G44" s="2697" t="s">
        <v>5264</v>
      </c>
      <c r="H44" s="2712"/>
      <c r="I44" s="2726" t="s">
        <v>5268</v>
      </c>
      <c r="J44" s="2726" t="s">
        <v>5269</v>
      </c>
      <c r="K44" s="2726">
        <v>5</v>
      </c>
      <c r="L44" s="2790">
        <v>1</v>
      </c>
      <c r="M44" s="2726">
        <v>0</v>
      </c>
      <c r="N44" s="2792">
        <v>0</v>
      </c>
      <c r="O44" s="3378"/>
      <c r="P44" s="2732">
        <v>865898166</v>
      </c>
      <c r="Q44" s="2732">
        <v>865898166</v>
      </c>
      <c r="R44" s="2726">
        <v>0</v>
      </c>
      <c r="S44" s="2726">
        <v>0</v>
      </c>
      <c r="T44" s="2810">
        <f t="shared" ref="T44" si="15">+R44/Q44</f>
        <v>0</v>
      </c>
      <c r="U44" s="2810">
        <f t="shared" si="14"/>
        <v>0</v>
      </c>
      <c r="V44" s="2715">
        <v>45337</v>
      </c>
      <c r="W44" s="2715">
        <v>45657</v>
      </c>
      <c r="X44" s="2716" t="s">
        <v>5263</v>
      </c>
      <c r="Y44" s="3374"/>
    </row>
    <row r="45" spans="1:25">
      <c r="A45" s="3374">
        <v>4182</v>
      </c>
      <c r="B45" s="3374"/>
      <c r="C45" s="3374" t="s">
        <v>123</v>
      </c>
      <c r="D45" s="3376" t="s">
        <v>5270</v>
      </c>
      <c r="E45" s="2697" t="s">
        <v>5271</v>
      </c>
      <c r="F45" s="2712"/>
      <c r="G45" s="2697"/>
      <c r="H45" s="2712"/>
      <c r="I45" s="2726"/>
      <c r="J45" s="2726"/>
      <c r="K45" s="2726">
        <f>+K46</f>
        <v>2</v>
      </c>
      <c r="L45" s="2790">
        <f>SUM(L46:L46)</f>
        <v>1</v>
      </c>
      <c r="M45" s="2726">
        <f>SUM(M46)</f>
        <v>0</v>
      </c>
      <c r="N45" s="2792">
        <f>SUM(N46)</f>
        <v>0</v>
      </c>
      <c r="O45" s="3378">
        <f>IF(P45&gt;0,N45,"NA")</f>
        <v>0</v>
      </c>
      <c r="P45" s="2714">
        <f>SUM(P46)</f>
        <v>32488579</v>
      </c>
      <c r="Q45" s="2714">
        <f t="shared" ref="Q45:S45" si="16">SUM(Q46)</f>
        <v>32488579</v>
      </c>
      <c r="R45" s="2714">
        <f t="shared" si="16"/>
        <v>0</v>
      </c>
      <c r="S45" s="2714">
        <f t="shared" si="16"/>
        <v>0</v>
      </c>
      <c r="T45" s="2810">
        <f t="shared" ref="T45:T48" si="17">+IF(Q45=0,0,R45/Q45)</f>
        <v>0</v>
      </c>
      <c r="U45" s="2810">
        <f t="shared" si="14"/>
        <v>0</v>
      </c>
      <c r="V45" s="2694"/>
      <c r="W45" s="2694"/>
      <c r="X45" s="2716"/>
      <c r="Y45" s="3374" t="s">
        <v>5192</v>
      </c>
    </row>
    <row r="46" spans="1:25" ht="52.8">
      <c r="A46" s="3374"/>
      <c r="B46" s="3374"/>
      <c r="C46" s="3374"/>
      <c r="D46" s="3376"/>
      <c r="E46" s="2697" t="s">
        <v>5272</v>
      </c>
      <c r="F46" s="2700"/>
      <c r="G46" s="2697" t="s">
        <v>5273</v>
      </c>
      <c r="H46" s="2712"/>
      <c r="I46" s="2726" t="s">
        <v>5274</v>
      </c>
      <c r="J46" s="2726" t="s">
        <v>5269</v>
      </c>
      <c r="K46" s="2726">
        <v>2</v>
      </c>
      <c r="L46" s="2790">
        <v>1</v>
      </c>
      <c r="M46" s="2726">
        <v>0</v>
      </c>
      <c r="N46" s="2792">
        <v>0</v>
      </c>
      <c r="O46" s="3378"/>
      <c r="P46" s="2732">
        <v>32488579</v>
      </c>
      <c r="Q46" s="2732">
        <v>32488579</v>
      </c>
      <c r="R46" s="2732">
        <v>0</v>
      </c>
      <c r="S46" s="2732">
        <v>0</v>
      </c>
      <c r="T46" s="2810">
        <f t="shared" si="17"/>
        <v>0</v>
      </c>
      <c r="U46" s="2810">
        <f t="shared" si="14"/>
        <v>0</v>
      </c>
      <c r="V46" s="2769"/>
      <c r="W46" s="2715"/>
      <c r="X46" s="2716"/>
      <c r="Y46" s="3374"/>
    </row>
    <row r="47" spans="1:25">
      <c r="A47" s="3374">
        <v>4182</v>
      </c>
      <c r="B47" s="3374"/>
      <c r="C47" s="3374" t="s">
        <v>123</v>
      </c>
      <c r="D47" s="3376" t="s">
        <v>5275</v>
      </c>
      <c r="E47" s="2697" t="s">
        <v>5276</v>
      </c>
      <c r="F47" s="2713"/>
      <c r="G47" s="2697"/>
      <c r="H47" s="2712"/>
      <c r="I47" s="2726"/>
      <c r="J47" s="2726"/>
      <c r="K47" s="2726">
        <f>+K48</f>
        <v>1</v>
      </c>
      <c r="L47" s="2790">
        <v>1</v>
      </c>
      <c r="M47" s="2726">
        <f>SUM(M48)</f>
        <v>0</v>
      </c>
      <c r="N47" s="2792">
        <f>SUM(N48)</f>
        <v>0</v>
      </c>
      <c r="O47" s="3378">
        <f>IF(P47&gt;0,N47,"NA")</f>
        <v>0</v>
      </c>
      <c r="P47" s="2714">
        <f>SUM(P48)</f>
        <v>6024090256</v>
      </c>
      <c r="Q47" s="2714">
        <f t="shared" ref="Q47:S47" si="18">SUM(Q48)</f>
        <v>6024090256</v>
      </c>
      <c r="R47" s="2714">
        <f t="shared" si="18"/>
        <v>0</v>
      </c>
      <c r="S47" s="2714">
        <f t="shared" si="18"/>
        <v>0</v>
      </c>
      <c r="T47" s="2810">
        <f t="shared" si="17"/>
        <v>0</v>
      </c>
      <c r="U47" s="2810">
        <f t="shared" si="14"/>
        <v>0</v>
      </c>
      <c r="V47" s="2715"/>
      <c r="W47" s="2715"/>
      <c r="X47" s="2716"/>
      <c r="Y47" s="3381" t="s">
        <v>5192</v>
      </c>
    </row>
    <row r="48" spans="1:25" ht="52.8">
      <c r="A48" s="3374"/>
      <c r="B48" s="3374"/>
      <c r="C48" s="3374"/>
      <c r="D48" s="3376"/>
      <c r="E48" s="2697" t="s">
        <v>5277</v>
      </c>
      <c r="F48" s="2700"/>
      <c r="G48" s="2697" t="s">
        <v>5264</v>
      </c>
      <c r="H48" s="2712"/>
      <c r="I48" s="2726" t="s">
        <v>5278</v>
      </c>
      <c r="J48" s="2726" t="s">
        <v>5279</v>
      </c>
      <c r="K48" s="2726">
        <v>1</v>
      </c>
      <c r="L48" s="2790">
        <v>1</v>
      </c>
      <c r="M48" s="2726">
        <v>0</v>
      </c>
      <c r="N48" s="2792">
        <v>0</v>
      </c>
      <c r="O48" s="3378"/>
      <c r="P48" s="2732">
        <v>6024090256</v>
      </c>
      <c r="Q48" s="2732">
        <v>6024090256</v>
      </c>
      <c r="R48" s="2726">
        <v>0</v>
      </c>
      <c r="S48" s="2726">
        <v>0</v>
      </c>
      <c r="T48" s="2810">
        <f t="shared" si="17"/>
        <v>0</v>
      </c>
      <c r="U48" s="2810">
        <f t="shared" si="14"/>
        <v>0</v>
      </c>
      <c r="V48" s="2770"/>
      <c r="W48" s="2715"/>
      <c r="X48" s="2716"/>
      <c r="Y48" s="3381"/>
    </row>
    <row r="49" spans="1:25" s="420" customFormat="1" ht="15.6">
      <c r="A49" s="2683"/>
      <c r="B49" s="2683">
        <v>5205</v>
      </c>
      <c r="C49" s="2683" t="s">
        <v>115</v>
      </c>
      <c r="D49" s="2684" t="s">
        <v>5280</v>
      </c>
      <c r="E49" s="2684"/>
      <c r="F49" s="2738"/>
      <c r="G49" s="2684"/>
      <c r="H49" s="2683"/>
      <c r="I49" s="2783"/>
      <c r="J49" s="2787"/>
      <c r="K49" s="2783"/>
      <c r="L49" s="2783"/>
      <c r="M49" s="2783"/>
      <c r="N49" s="2807"/>
      <c r="O49" s="2807"/>
      <c r="P49" s="2782"/>
      <c r="Q49" s="2783"/>
      <c r="R49" s="2783"/>
      <c r="S49" s="2783"/>
      <c r="T49" s="2813"/>
      <c r="U49" s="2813"/>
      <c r="V49" s="2694"/>
      <c r="W49" s="2694"/>
      <c r="X49" s="2784"/>
      <c r="Y49" s="2682"/>
    </row>
    <row r="50" spans="1:25" ht="15.6">
      <c r="A50" s="2695"/>
      <c r="B50" s="2695">
        <v>5205001</v>
      </c>
      <c r="C50" s="2695" t="s">
        <v>116</v>
      </c>
      <c r="D50" s="2696" t="s">
        <v>185</v>
      </c>
      <c r="E50" s="2696"/>
      <c r="F50" s="2778"/>
      <c r="G50" s="2696"/>
      <c r="H50" s="2695"/>
      <c r="I50" s="2780"/>
      <c r="J50" s="2780"/>
      <c r="K50" s="2780"/>
      <c r="L50" s="2780"/>
      <c r="M50" s="2780"/>
      <c r="N50" s="2808"/>
      <c r="O50" s="2808"/>
      <c r="P50" s="2779"/>
      <c r="Q50" s="2780"/>
      <c r="R50" s="2780"/>
      <c r="S50" s="2780"/>
      <c r="T50" s="2814"/>
      <c r="U50" s="2814"/>
      <c r="V50" s="2682"/>
      <c r="W50" s="2682"/>
      <c r="X50" s="2739"/>
      <c r="Y50" s="2781"/>
    </row>
    <row r="51" spans="1:25" ht="27.6">
      <c r="A51" s="2700"/>
      <c r="B51" s="2702">
        <v>52050010009</v>
      </c>
      <c r="C51" s="2702" t="s">
        <v>117</v>
      </c>
      <c r="D51" s="2703" t="s">
        <v>5281</v>
      </c>
      <c r="E51" s="2697"/>
      <c r="F51" s="2719"/>
      <c r="G51" s="2697"/>
      <c r="H51" s="2700"/>
      <c r="I51" s="2726"/>
      <c r="J51" s="2726"/>
      <c r="K51" s="2726"/>
      <c r="L51" s="2726"/>
      <c r="M51" s="2721"/>
      <c r="N51" s="2805"/>
      <c r="O51" s="2805"/>
      <c r="P51" s="2730"/>
      <c r="Q51" s="2721"/>
      <c r="R51" s="2721"/>
      <c r="S51" s="2721"/>
      <c r="T51" s="2812"/>
      <c r="U51" s="2812"/>
      <c r="V51" s="2781"/>
      <c r="W51" s="2781"/>
      <c r="X51" s="2723"/>
      <c r="Y51" s="2694"/>
    </row>
    <row r="52" spans="1:25">
      <c r="A52" s="3374">
        <v>4182</v>
      </c>
      <c r="B52" s="3374"/>
      <c r="C52" s="3374" t="s">
        <v>123</v>
      </c>
      <c r="D52" s="3380" t="s">
        <v>5282</v>
      </c>
      <c r="E52" s="2697" t="s">
        <v>5283</v>
      </c>
      <c r="F52" s="2719"/>
      <c r="G52" s="2697"/>
      <c r="H52" s="2700"/>
      <c r="I52" s="2726"/>
      <c r="J52" s="2726"/>
      <c r="K52" s="2726">
        <f>+K53</f>
        <v>39</v>
      </c>
      <c r="L52" s="2790">
        <f>SUM(L53:L54)</f>
        <v>1</v>
      </c>
      <c r="M52" s="2726">
        <v>0</v>
      </c>
      <c r="N52" s="2792">
        <f>SUM(N53)</f>
        <v>0</v>
      </c>
      <c r="O52" s="3378">
        <f>IF(P52&gt;0,N52,"NA")</f>
        <v>0</v>
      </c>
      <c r="P52" s="2732">
        <f>SUM(P53:P54)</f>
        <v>9574053207</v>
      </c>
      <c r="Q52" s="2732">
        <f t="shared" ref="Q52:U52" si="19">SUM(Q53:Q54)</f>
        <v>9574053207</v>
      </c>
      <c r="R52" s="2732">
        <f t="shared" si="19"/>
        <v>138807508</v>
      </c>
      <c r="S52" s="2732">
        <f t="shared" si="19"/>
        <v>96510508</v>
      </c>
      <c r="T52" s="2815">
        <f t="shared" si="19"/>
        <v>1.449830129401327E-2</v>
      </c>
      <c r="U52" s="2815">
        <f t="shared" si="19"/>
        <v>0.69528305342100083</v>
      </c>
      <c r="V52" s="2694"/>
      <c r="W52" s="2708"/>
      <c r="X52" s="2724"/>
      <c r="Y52" s="2700"/>
    </row>
    <row r="53" spans="1:25" ht="66">
      <c r="A53" s="3374"/>
      <c r="B53" s="3374"/>
      <c r="C53" s="3374"/>
      <c r="D53" s="3380"/>
      <c r="E53" s="2697" t="s">
        <v>5284</v>
      </c>
      <c r="F53" s="2719"/>
      <c r="G53" s="2697" t="s">
        <v>5285</v>
      </c>
      <c r="H53" s="2700"/>
      <c r="I53" s="2726" t="s">
        <v>5286</v>
      </c>
      <c r="J53" s="2726" t="s">
        <v>5287</v>
      </c>
      <c r="K53" s="2726">
        <v>39</v>
      </c>
      <c r="L53" s="2790">
        <v>1</v>
      </c>
      <c r="M53" s="2726">
        <v>0</v>
      </c>
      <c r="N53" s="2792">
        <v>0</v>
      </c>
      <c r="O53" s="3378"/>
      <c r="P53" s="2732">
        <v>9574053207</v>
      </c>
      <c r="Q53" s="2732">
        <v>9574053207</v>
      </c>
      <c r="R53" s="2732">
        <v>138807508</v>
      </c>
      <c r="S53" s="2732">
        <v>96510508</v>
      </c>
      <c r="T53" s="2810">
        <f t="shared" ref="T53" si="20">+IF(Q53=0,0,R53/Q53)</f>
        <v>1.449830129401327E-2</v>
      </c>
      <c r="U53" s="2810">
        <f>+IF(R53=0,0,S53/R53)</f>
        <v>0.69528305342100083</v>
      </c>
      <c r="V53" s="2771">
        <v>45337</v>
      </c>
      <c r="W53" s="2715">
        <v>45657</v>
      </c>
      <c r="X53" s="2724" t="s">
        <v>5288</v>
      </c>
      <c r="Y53" s="2700" t="s">
        <v>5192</v>
      </c>
    </row>
    <row r="54" spans="1:25" s="420" customFormat="1" ht="15.6">
      <c r="A54" s="2683"/>
      <c r="B54" s="2683">
        <v>53</v>
      </c>
      <c r="C54" s="2683" t="s">
        <v>114</v>
      </c>
      <c r="D54" s="2728" t="s">
        <v>189</v>
      </c>
      <c r="E54" s="2684"/>
      <c r="F54" s="2738"/>
      <c r="G54" s="2684"/>
      <c r="H54" s="2683"/>
      <c r="I54" s="2783"/>
      <c r="J54" s="2783"/>
      <c r="K54" s="2783"/>
      <c r="L54" s="2793"/>
      <c r="M54" s="2783"/>
      <c r="N54" s="2807"/>
      <c r="O54" s="2807"/>
      <c r="P54" s="2785"/>
      <c r="Q54" s="2783"/>
      <c r="R54" s="2783"/>
      <c r="S54" s="2783"/>
      <c r="T54" s="2813"/>
      <c r="U54" s="2813"/>
      <c r="V54" s="2715"/>
      <c r="W54" s="2715"/>
      <c r="X54" s="2784"/>
      <c r="Y54" s="2682"/>
    </row>
    <row r="55" spans="1:25" ht="15.6">
      <c r="A55" s="2683"/>
      <c r="B55" s="2683">
        <v>5302</v>
      </c>
      <c r="C55" s="2683" t="s">
        <v>115</v>
      </c>
      <c r="D55" s="2684" t="s">
        <v>190</v>
      </c>
      <c r="E55" s="2684"/>
      <c r="F55" s="2738"/>
      <c r="G55" s="2684"/>
      <c r="H55" s="2683"/>
      <c r="I55" s="2783"/>
      <c r="J55" s="2783"/>
      <c r="K55" s="2783"/>
      <c r="L55" s="2793"/>
      <c r="M55" s="2721"/>
      <c r="N55" s="2805"/>
      <c r="O55" s="2805"/>
      <c r="P55" s="2734"/>
      <c r="Q55" s="2721"/>
      <c r="R55" s="2721"/>
      <c r="S55" s="2721"/>
      <c r="T55" s="2812"/>
      <c r="U55" s="2812"/>
      <c r="V55" s="2682"/>
      <c r="W55" s="2682"/>
      <c r="X55" s="2723"/>
      <c r="Y55" s="2682"/>
    </row>
    <row r="56" spans="1:25" ht="15.6">
      <c r="A56" s="2695"/>
      <c r="B56" s="2695">
        <v>5302001</v>
      </c>
      <c r="C56" s="2695" t="s">
        <v>116</v>
      </c>
      <c r="D56" s="2696" t="s">
        <v>191</v>
      </c>
      <c r="E56" s="2696"/>
      <c r="F56" s="2778"/>
      <c r="G56" s="2696"/>
      <c r="H56" s="2695"/>
      <c r="I56" s="2780"/>
      <c r="J56" s="2780"/>
      <c r="K56" s="2780"/>
      <c r="L56" s="2794"/>
      <c r="M56" s="2780"/>
      <c r="N56" s="2808"/>
      <c r="O56" s="2808"/>
      <c r="P56" s="2786"/>
      <c r="Q56" s="2780"/>
      <c r="R56" s="2780"/>
      <c r="S56" s="2780"/>
      <c r="T56" s="2814"/>
      <c r="U56" s="2814"/>
      <c r="V56" s="2682"/>
      <c r="W56" s="2682"/>
      <c r="X56" s="2739"/>
      <c r="Y56" s="2781"/>
    </row>
    <row r="57" spans="1:25" ht="27.6">
      <c r="A57" s="2702"/>
      <c r="B57" s="2702">
        <v>53020010002</v>
      </c>
      <c r="C57" s="2702" t="s">
        <v>117</v>
      </c>
      <c r="D57" s="2703" t="s">
        <v>5289</v>
      </c>
      <c r="E57" s="2711"/>
      <c r="F57" s="2719"/>
      <c r="G57" s="2697"/>
      <c r="H57" s="2700"/>
      <c r="I57" s="2726"/>
      <c r="J57" s="2726"/>
      <c r="K57" s="2726" t="e">
        <f>+K58+#REF!+K60</f>
        <v>#REF!</v>
      </c>
      <c r="L57" s="2726"/>
      <c r="M57" s="2721"/>
      <c r="N57" s="2805"/>
      <c r="O57" s="2805"/>
      <c r="P57" s="2734"/>
      <c r="Q57" s="2721"/>
      <c r="R57" s="2721"/>
      <c r="S57" s="2721"/>
      <c r="T57" s="2812"/>
      <c r="U57" s="2812"/>
      <c r="V57" s="2781"/>
      <c r="W57" s="2781"/>
      <c r="X57" s="2723"/>
      <c r="Y57" s="2700"/>
    </row>
    <row r="58" spans="1:25">
      <c r="A58" s="3374">
        <v>4182</v>
      </c>
      <c r="B58" s="3374"/>
      <c r="C58" s="3374" t="s">
        <v>123</v>
      </c>
      <c r="D58" s="3376" t="s">
        <v>5290</v>
      </c>
      <c r="E58" s="2697" t="s">
        <v>5291</v>
      </c>
      <c r="F58" s="2719"/>
      <c r="G58" s="2697"/>
      <c r="H58" s="2713"/>
      <c r="I58" s="2726"/>
      <c r="J58" s="2726"/>
      <c r="K58" s="2726">
        <v>1</v>
      </c>
      <c r="L58" s="2790">
        <f>SUM(L59)</f>
        <v>1</v>
      </c>
      <c r="M58" s="2726">
        <f>SUM(M59)</f>
        <v>0.17</v>
      </c>
      <c r="N58" s="2792">
        <f>SUM(N59)</f>
        <v>0.17</v>
      </c>
      <c r="O58" s="3378">
        <f>IF(P58&gt;0,N58,"NA")</f>
        <v>0.17</v>
      </c>
      <c r="P58" s="2732">
        <f>SUM(P59)</f>
        <v>662756000</v>
      </c>
      <c r="Q58" s="2732">
        <f t="shared" ref="Q58:S58" si="21">SUM(Q59)</f>
        <v>662756000</v>
      </c>
      <c r="R58" s="2732">
        <f t="shared" si="21"/>
        <v>345634000</v>
      </c>
      <c r="S58" s="2732">
        <f t="shared" si="21"/>
        <v>215773000</v>
      </c>
      <c r="T58" s="2810">
        <f t="shared" ref="T58:U61" si="22">+IF(Q58=0,0,R58/Q58)</f>
        <v>0.52151017870830285</v>
      </c>
      <c r="U58" s="2810">
        <f t="shared" si="22"/>
        <v>0.62428175468848546</v>
      </c>
      <c r="V58" s="2700"/>
      <c r="W58" s="2700"/>
      <c r="X58" s="2716"/>
      <c r="Y58" s="3374" t="s">
        <v>5237</v>
      </c>
    </row>
    <row r="59" spans="1:25" ht="118.8">
      <c r="A59" s="3374"/>
      <c r="B59" s="3374"/>
      <c r="C59" s="3374"/>
      <c r="D59" s="3376"/>
      <c r="E59" s="2697" t="s">
        <v>5292</v>
      </c>
      <c r="F59" s="2710"/>
      <c r="G59" s="2697" t="s">
        <v>5293</v>
      </c>
      <c r="H59" s="2700"/>
      <c r="I59" s="2726" t="s">
        <v>5294</v>
      </c>
      <c r="J59" s="2726" t="s">
        <v>5295</v>
      </c>
      <c r="K59" s="2726">
        <v>1</v>
      </c>
      <c r="L59" s="2790">
        <v>1</v>
      </c>
      <c r="M59" s="2726">
        <v>0.17</v>
      </c>
      <c r="N59" s="2792">
        <v>0.17</v>
      </c>
      <c r="O59" s="3378"/>
      <c r="P59" s="2732">
        <v>662756000</v>
      </c>
      <c r="Q59" s="2732">
        <v>662756000</v>
      </c>
      <c r="R59" s="2732">
        <v>345634000</v>
      </c>
      <c r="S59" s="2732">
        <v>215773000</v>
      </c>
      <c r="T59" s="2810">
        <f t="shared" si="22"/>
        <v>0.52151017870830285</v>
      </c>
      <c r="U59" s="2810">
        <f t="shared" si="22"/>
        <v>0.62428175468848546</v>
      </c>
      <c r="V59" s="2771">
        <v>45321</v>
      </c>
      <c r="W59" s="2715">
        <v>45657</v>
      </c>
      <c r="X59" s="2716" t="s">
        <v>5296</v>
      </c>
      <c r="Y59" s="3374"/>
    </row>
    <row r="60" spans="1:25">
      <c r="A60" s="3382">
        <v>4182</v>
      </c>
      <c r="B60" s="3374"/>
      <c r="C60" s="3374" t="s">
        <v>123</v>
      </c>
      <c r="D60" s="3376" t="s">
        <v>5297</v>
      </c>
      <c r="E60" s="2697" t="s">
        <v>5298</v>
      </c>
      <c r="F60" s="2700"/>
      <c r="G60" s="2697"/>
      <c r="H60" s="2700"/>
      <c r="I60" s="2726"/>
      <c r="J60" s="2726"/>
      <c r="K60" s="2726">
        <v>1</v>
      </c>
      <c r="L60" s="2790">
        <f>SUM(L61)</f>
        <v>1</v>
      </c>
      <c r="M60" s="2726">
        <f>SUM(M744)</f>
        <v>0</v>
      </c>
      <c r="N60" s="2792">
        <f>SUM(N744)</f>
        <v>0</v>
      </c>
      <c r="O60" s="3378">
        <f>IF(Q60&gt;0,N60,"NA")</f>
        <v>0</v>
      </c>
      <c r="P60" s="2732">
        <f>SUM(P61)</f>
        <v>96852576</v>
      </c>
      <c r="Q60" s="2732">
        <f t="shared" ref="Q60:S60" si="23">SUM(Q61)</f>
        <v>96852576</v>
      </c>
      <c r="R60" s="2732">
        <f t="shared" si="23"/>
        <v>0</v>
      </c>
      <c r="S60" s="2732">
        <f t="shared" si="23"/>
        <v>0</v>
      </c>
      <c r="T60" s="2810">
        <f t="shared" si="22"/>
        <v>0</v>
      </c>
      <c r="U60" s="2810">
        <f t="shared" si="22"/>
        <v>0</v>
      </c>
      <c r="V60" s="2715"/>
      <c r="W60" s="2715"/>
      <c r="X60" s="2716"/>
      <c r="Y60" s="3374" t="s">
        <v>5237</v>
      </c>
    </row>
    <row r="61" spans="1:25" ht="66">
      <c r="A61" s="3382"/>
      <c r="B61" s="3374"/>
      <c r="C61" s="3374"/>
      <c r="D61" s="3376"/>
      <c r="E61" s="2772" t="s">
        <v>5299</v>
      </c>
      <c r="F61" s="2719"/>
      <c r="G61" s="2697" t="s">
        <v>5293</v>
      </c>
      <c r="H61" s="2700"/>
      <c r="I61" s="2726" t="s">
        <v>5300</v>
      </c>
      <c r="J61" s="2726" t="s">
        <v>5301</v>
      </c>
      <c r="K61" s="2726">
        <v>1</v>
      </c>
      <c r="L61" s="2790">
        <v>1</v>
      </c>
      <c r="M61" s="2726">
        <v>0</v>
      </c>
      <c r="N61" s="2792">
        <v>0</v>
      </c>
      <c r="O61" s="3378"/>
      <c r="P61" s="2732">
        <v>96852576</v>
      </c>
      <c r="Q61" s="2732">
        <v>96852576</v>
      </c>
      <c r="R61" s="2732">
        <v>0</v>
      </c>
      <c r="S61" s="2732">
        <v>0</v>
      </c>
      <c r="T61" s="2810">
        <f t="shared" si="22"/>
        <v>0</v>
      </c>
      <c r="U61" s="2810">
        <f t="shared" si="22"/>
        <v>0</v>
      </c>
      <c r="V61" s="2771"/>
      <c r="W61" s="2715"/>
      <c r="X61" s="2716"/>
      <c r="Y61" s="3374"/>
    </row>
    <row r="62" spans="1:25" ht="27.6">
      <c r="A62" s="2702"/>
      <c r="B62" s="2702">
        <v>53020010004</v>
      </c>
      <c r="C62" s="2702" t="s">
        <v>117</v>
      </c>
      <c r="D62" s="2703" t="s">
        <v>5302</v>
      </c>
      <c r="E62" s="2697"/>
      <c r="F62" s="2719"/>
      <c r="G62" s="2697"/>
      <c r="H62" s="2700"/>
      <c r="I62" s="2726"/>
      <c r="J62" s="2726"/>
      <c r="K62" s="2726"/>
      <c r="L62" s="2790"/>
      <c r="M62" s="2780"/>
      <c r="N62" s="2808"/>
      <c r="O62" s="2808"/>
      <c r="P62" s="2734"/>
      <c r="Q62" s="2721"/>
      <c r="R62" s="2780"/>
      <c r="S62" s="2780"/>
      <c r="T62" s="2814"/>
      <c r="U62" s="2814"/>
      <c r="V62" s="2694"/>
      <c r="W62" s="2694"/>
      <c r="X62" s="2739"/>
      <c r="Y62" s="2694"/>
    </row>
    <row r="63" spans="1:25">
      <c r="A63" s="3374">
        <v>4182</v>
      </c>
      <c r="B63" s="3382"/>
      <c r="C63" s="3374" t="s">
        <v>123</v>
      </c>
      <c r="D63" s="3376" t="s">
        <v>5303</v>
      </c>
      <c r="E63" s="2697" t="s">
        <v>5304</v>
      </c>
      <c r="F63" s="2719"/>
      <c r="G63" s="2711"/>
      <c r="H63" s="2700"/>
      <c r="I63" s="2726"/>
      <c r="J63" s="2726"/>
      <c r="K63" s="2789">
        <f>K64+K65</f>
        <v>652652</v>
      </c>
      <c r="L63" s="2790">
        <f>SUM(L64:L65)</f>
        <v>1</v>
      </c>
      <c r="M63" s="2789">
        <f>M64+M65</f>
        <v>65267</v>
      </c>
      <c r="N63" s="2792">
        <f>SUM(N64:N65)</f>
        <v>0.2</v>
      </c>
      <c r="O63" s="3378">
        <f>IF(Q63&gt;0,N63,"NA")</f>
        <v>0.2</v>
      </c>
      <c r="P63" s="2732">
        <f>SUM(P64:P65)</f>
        <v>900000000</v>
      </c>
      <c r="Q63" s="2740">
        <f t="shared" ref="Q63:S63" si="24">SUM(Q64:Q65)</f>
        <v>900000000</v>
      </c>
      <c r="R63" s="2732">
        <f t="shared" si="24"/>
        <v>298931000</v>
      </c>
      <c r="S63" s="2732">
        <f t="shared" si="24"/>
        <v>214541000</v>
      </c>
      <c r="T63" s="2810">
        <f t="shared" ref="T63:T66" si="25">+IF(Q63=0,0,R63/Q63)</f>
        <v>0.33214555555555558</v>
      </c>
      <c r="U63" s="2810">
        <f>+IF(R63=0,0,S63/R63)</f>
        <v>0.71769404979744489</v>
      </c>
      <c r="V63" s="2694"/>
      <c r="W63" s="2694"/>
      <c r="X63" s="2716"/>
      <c r="Y63" s="3374" t="s">
        <v>5237</v>
      </c>
    </row>
    <row r="64" spans="1:25" ht="105.6">
      <c r="A64" s="3374"/>
      <c r="B64" s="3382"/>
      <c r="C64" s="3374"/>
      <c r="D64" s="3376"/>
      <c r="E64" s="2697" t="s">
        <v>5305</v>
      </c>
      <c r="F64" s="2719"/>
      <c r="G64" s="2697" t="s">
        <v>5306</v>
      </c>
      <c r="H64" s="2700"/>
      <c r="I64" s="2726" t="s">
        <v>5307</v>
      </c>
      <c r="J64" s="2726" t="s">
        <v>5308</v>
      </c>
      <c r="K64" s="2726">
        <v>1</v>
      </c>
      <c r="L64" s="2790">
        <v>0.6</v>
      </c>
      <c r="M64" s="2726">
        <v>2</v>
      </c>
      <c r="N64" s="2792">
        <v>0.1</v>
      </c>
      <c r="O64" s="3378"/>
      <c r="P64" s="2732">
        <v>724827140</v>
      </c>
      <c r="Q64" s="2732">
        <v>724827140</v>
      </c>
      <c r="R64" s="2732">
        <v>245343000</v>
      </c>
      <c r="S64" s="2732">
        <v>175170000</v>
      </c>
      <c r="T64" s="2810">
        <f t="shared" si="25"/>
        <v>0.33848484205489326</v>
      </c>
      <c r="U64" s="2810">
        <f>+IF(R64=0,0,S64/R64)</f>
        <v>0.71398001980900205</v>
      </c>
      <c r="V64" s="2770">
        <v>45321</v>
      </c>
      <c r="W64" s="2715">
        <v>45657</v>
      </c>
      <c r="X64" s="2716" t="s">
        <v>5309</v>
      </c>
      <c r="Y64" s="3374"/>
    </row>
    <row r="65" spans="1:25" ht="158.4">
      <c r="A65" s="3374"/>
      <c r="B65" s="3382"/>
      <c r="C65" s="3374"/>
      <c r="D65" s="3376"/>
      <c r="E65" s="2697" t="s">
        <v>5310</v>
      </c>
      <c r="F65" s="2719"/>
      <c r="G65" s="2697"/>
      <c r="H65" s="2700"/>
      <c r="I65" s="2788" t="s">
        <v>5311</v>
      </c>
      <c r="J65" s="2726" t="s">
        <v>5312</v>
      </c>
      <c r="K65" s="2789">
        <v>652651</v>
      </c>
      <c r="L65" s="2790">
        <v>0.4</v>
      </c>
      <c r="M65" s="2789">
        <v>65265</v>
      </c>
      <c r="N65" s="2792">
        <v>0.1</v>
      </c>
      <c r="O65" s="3378"/>
      <c r="P65" s="2732">
        <v>175172860</v>
      </c>
      <c r="Q65" s="2732">
        <v>175172860</v>
      </c>
      <c r="R65" s="2732">
        <v>53588000</v>
      </c>
      <c r="S65" s="2732">
        <v>39371000</v>
      </c>
      <c r="T65" s="2810">
        <f t="shared" si="25"/>
        <v>0.3059149687913984</v>
      </c>
      <c r="U65" s="2810">
        <f>+IF(R65=0,0,S65/R65)</f>
        <v>0.73469806673135774</v>
      </c>
      <c r="V65" s="2770">
        <v>45321</v>
      </c>
      <c r="W65" s="2715">
        <v>45657</v>
      </c>
      <c r="X65" s="2716" t="s">
        <v>5313</v>
      </c>
      <c r="Y65" s="3374"/>
    </row>
    <row r="66" spans="1:25">
      <c r="A66" s="3374"/>
      <c r="B66" s="3382"/>
      <c r="C66" s="3374" t="s">
        <v>123</v>
      </c>
      <c r="D66" s="3380" t="s">
        <v>5314</v>
      </c>
      <c r="E66" s="2697" t="s">
        <v>5315</v>
      </c>
      <c r="F66" s="2719"/>
      <c r="G66" s="2697"/>
      <c r="H66" s="2741"/>
      <c r="I66" s="2788"/>
      <c r="J66" s="2726"/>
      <c r="K66" s="2789">
        <f>+K67</f>
        <v>99366</v>
      </c>
      <c r="L66" s="2790">
        <f>+L67</f>
        <v>1</v>
      </c>
      <c r="M66" s="2789">
        <f>+M67</f>
        <v>0</v>
      </c>
      <c r="N66" s="2792">
        <f>+N67</f>
        <v>0</v>
      </c>
      <c r="O66" s="3378">
        <f>IF(Q66&gt;0,N66,"NA")</f>
        <v>0</v>
      </c>
      <c r="P66" s="2732">
        <f>P67</f>
        <v>7185731677</v>
      </c>
      <c r="Q66" s="2732">
        <f>+Q67</f>
        <v>7185731677</v>
      </c>
      <c r="R66" s="2732">
        <f>+R67</f>
        <v>0</v>
      </c>
      <c r="S66" s="2732">
        <f>+S67</f>
        <v>0</v>
      </c>
      <c r="T66" s="2810">
        <f t="shared" si="25"/>
        <v>0</v>
      </c>
      <c r="U66" s="2810">
        <f>+IF(R66=0,0,S66/R66)</f>
        <v>0</v>
      </c>
      <c r="V66" s="2715"/>
      <c r="W66" s="2715"/>
      <c r="X66" s="2716"/>
      <c r="Y66" s="3374" t="s">
        <v>5192</v>
      </c>
    </row>
    <row r="67" spans="1:25" ht="79.2">
      <c r="A67" s="3374"/>
      <c r="B67" s="3382"/>
      <c r="C67" s="3374"/>
      <c r="D67" s="3380"/>
      <c r="E67" s="2711" t="s">
        <v>5316</v>
      </c>
      <c r="F67" s="2719"/>
      <c r="G67" s="2697" t="s">
        <v>5317</v>
      </c>
      <c r="H67" s="2700"/>
      <c r="I67" s="2788" t="s">
        <v>5318</v>
      </c>
      <c r="J67" s="2726" t="s">
        <v>5319</v>
      </c>
      <c r="K67" s="2789">
        <v>99366</v>
      </c>
      <c r="L67" s="2790">
        <v>1</v>
      </c>
      <c r="M67" s="2789">
        <v>0</v>
      </c>
      <c r="N67" s="2792">
        <v>0</v>
      </c>
      <c r="O67" s="3378"/>
      <c r="P67" s="2732">
        <v>7185731677</v>
      </c>
      <c r="Q67" s="2732">
        <v>7185731677</v>
      </c>
      <c r="R67" s="2732">
        <v>0</v>
      </c>
      <c r="S67" s="2732">
        <v>0</v>
      </c>
      <c r="T67" s="2810">
        <f>+IF(Q67=0,0,R67/Q67)</f>
        <v>0</v>
      </c>
      <c r="U67" s="2810">
        <f>+IF(R67=0,0,S67/R67)</f>
        <v>0</v>
      </c>
      <c r="V67" s="2770"/>
      <c r="W67" s="2715"/>
      <c r="X67" s="2716"/>
      <c r="Y67" s="3374"/>
    </row>
    <row r="68" spans="1:25" ht="41.4">
      <c r="A68" s="2702"/>
      <c r="B68" s="2702">
        <v>53020010005</v>
      </c>
      <c r="C68" s="2702" t="s">
        <v>117</v>
      </c>
      <c r="D68" s="2703" t="s">
        <v>5320</v>
      </c>
      <c r="E68" s="2697"/>
      <c r="F68" s="2742"/>
      <c r="G68" s="2697"/>
      <c r="H68" s="2700"/>
      <c r="I68" s="2726"/>
      <c r="J68" s="2726"/>
      <c r="K68" s="2726"/>
      <c r="L68" s="2790"/>
      <c r="M68" s="2780"/>
      <c r="N68" s="2808"/>
      <c r="O68" s="2808"/>
      <c r="P68" s="2734"/>
      <c r="Q68" s="2721"/>
      <c r="R68" s="2780"/>
      <c r="S68" s="2780"/>
      <c r="T68" s="2814"/>
      <c r="U68" s="2814"/>
      <c r="V68" s="2715"/>
      <c r="W68" s="2715"/>
      <c r="X68" s="2739"/>
      <c r="Y68" s="2694"/>
    </row>
    <row r="69" spans="1:25">
      <c r="A69" s="3374">
        <v>4182</v>
      </c>
      <c r="B69" s="3374"/>
      <c r="C69" s="3374" t="s">
        <v>123</v>
      </c>
      <c r="D69" s="3376" t="s">
        <v>5321</v>
      </c>
      <c r="E69" s="2711" t="s">
        <v>5322</v>
      </c>
      <c r="F69" s="2710"/>
      <c r="G69" s="2697"/>
      <c r="H69" s="2709"/>
      <c r="I69" s="2726"/>
      <c r="J69" s="2726"/>
      <c r="K69" s="2726">
        <f>+K70</f>
        <v>1</v>
      </c>
      <c r="L69" s="2790">
        <f>SUM(L70:L71)</f>
        <v>1</v>
      </c>
      <c r="M69" s="2795">
        <f>SUM(M70:M71)</f>
        <v>0.5</v>
      </c>
      <c r="N69" s="2792">
        <f>SUM(N70:N71)</f>
        <v>0.5</v>
      </c>
      <c r="O69" s="3378">
        <f>IF(Q69&gt;0,N69,"NA")</f>
        <v>0.5</v>
      </c>
      <c r="P69" s="2732">
        <f>SUM(P70:P71)</f>
        <v>2051015005</v>
      </c>
      <c r="Q69" s="2732">
        <f t="shared" ref="Q69:S69" si="26">SUM(Q70:Q71)</f>
        <v>2051015005</v>
      </c>
      <c r="R69" s="2732">
        <f t="shared" si="26"/>
        <v>1998951000</v>
      </c>
      <c r="S69" s="2732">
        <f t="shared" si="26"/>
        <v>65059000</v>
      </c>
      <c r="T69" s="2810">
        <f t="shared" ref="T69:T71" si="27">+IF(Q69=0,0,R69/Q69)</f>
        <v>0.97461549287885385</v>
      </c>
      <c r="U69" s="2810">
        <f>+IF(R69=0,0,S69/R69)</f>
        <v>3.2546570676319726E-2</v>
      </c>
      <c r="V69" s="2694"/>
      <c r="W69" s="2694"/>
      <c r="X69" s="2716"/>
      <c r="Y69" s="3374" t="s">
        <v>5237</v>
      </c>
    </row>
    <row r="70" spans="1:25" ht="92.4">
      <c r="A70" s="3374"/>
      <c r="B70" s="3374"/>
      <c r="C70" s="3374"/>
      <c r="D70" s="3376"/>
      <c r="E70" s="2711" t="s">
        <v>5323</v>
      </c>
      <c r="F70" s="2710"/>
      <c r="G70" s="2697" t="s">
        <v>5324</v>
      </c>
      <c r="H70" s="2709"/>
      <c r="I70" s="2726" t="s">
        <v>5325</v>
      </c>
      <c r="J70" s="2726" t="s">
        <v>5326</v>
      </c>
      <c r="K70" s="2726">
        <v>1</v>
      </c>
      <c r="L70" s="2790">
        <v>0.93</v>
      </c>
      <c r="M70" s="2796">
        <v>0.25</v>
      </c>
      <c r="N70" s="2792">
        <v>0.25</v>
      </c>
      <c r="O70" s="3378"/>
      <c r="P70" s="2732">
        <v>1956716605</v>
      </c>
      <c r="Q70" s="2732">
        <v>1956716605</v>
      </c>
      <c r="R70" s="2732">
        <v>1930948000</v>
      </c>
      <c r="S70" s="2732">
        <v>23211000</v>
      </c>
      <c r="T70" s="2810">
        <f t="shared" si="27"/>
        <v>0.98683069130493728</v>
      </c>
      <c r="U70" s="2810">
        <f>+IF(R70=0,0,S70/R70)</f>
        <v>1.2020520490453395E-2</v>
      </c>
      <c r="V70" s="2773">
        <v>45321</v>
      </c>
      <c r="W70" s="2715">
        <v>45657</v>
      </c>
      <c r="X70" s="2724" t="s">
        <v>5327</v>
      </c>
      <c r="Y70" s="3383"/>
    </row>
    <row r="71" spans="1:25" ht="79.2">
      <c r="A71" s="3374"/>
      <c r="B71" s="3374"/>
      <c r="C71" s="3374"/>
      <c r="D71" s="3376"/>
      <c r="E71" s="2711" t="s">
        <v>5328</v>
      </c>
      <c r="F71" s="2719"/>
      <c r="G71" s="2697"/>
      <c r="H71" s="2709"/>
      <c r="I71" s="2726" t="s">
        <v>5329</v>
      </c>
      <c r="J71" s="2726" t="s">
        <v>5330</v>
      </c>
      <c r="K71" s="2726">
        <v>1</v>
      </c>
      <c r="L71" s="2790">
        <v>7.0000000000000007E-2</v>
      </c>
      <c r="M71" s="2796">
        <v>0.25</v>
      </c>
      <c r="N71" s="2792">
        <v>0.25</v>
      </c>
      <c r="O71" s="3378"/>
      <c r="P71" s="2732">
        <v>94298400</v>
      </c>
      <c r="Q71" s="2732">
        <v>94298400</v>
      </c>
      <c r="R71" s="2732">
        <v>68003000</v>
      </c>
      <c r="S71" s="2732">
        <v>41848000</v>
      </c>
      <c r="T71" s="2810">
        <f t="shared" si="27"/>
        <v>0.72114691235482253</v>
      </c>
      <c r="U71" s="2810">
        <f>+IF(R71=0,0,S71/R71)</f>
        <v>0.61538461538461542</v>
      </c>
      <c r="V71" s="2773">
        <v>45321</v>
      </c>
      <c r="W71" s="2715">
        <v>45657</v>
      </c>
      <c r="X71" s="2724" t="s">
        <v>5331</v>
      </c>
      <c r="Y71" s="3383"/>
    </row>
    <row r="72" spans="1:25" ht="27.6">
      <c r="A72" s="2702"/>
      <c r="B72" s="2702">
        <v>53020010006</v>
      </c>
      <c r="C72" s="2702" t="s">
        <v>117</v>
      </c>
      <c r="D72" s="2703" t="s">
        <v>5332</v>
      </c>
      <c r="E72" s="2697"/>
      <c r="F72" s="2719"/>
      <c r="G72" s="2697"/>
      <c r="H72" s="2700"/>
      <c r="I72" s="2726"/>
      <c r="J72" s="2726"/>
      <c r="K72" s="2789"/>
      <c r="L72" s="2790"/>
      <c r="M72" s="2780"/>
      <c r="N72" s="2792"/>
      <c r="O72" s="2808"/>
      <c r="P72" s="2734"/>
      <c r="Q72" s="2721"/>
      <c r="R72" s="2780"/>
      <c r="S72" s="2780"/>
      <c r="T72" s="2814"/>
      <c r="U72" s="2814"/>
      <c r="V72" s="2715"/>
      <c r="W72" s="2715"/>
      <c r="X72" s="2739"/>
      <c r="Y72" s="2694"/>
    </row>
    <row r="73" spans="1:25">
      <c r="A73" s="3374">
        <v>4182</v>
      </c>
      <c r="B73" s="3374"/>
      <c r="C73" s="3374" t="s">
        <v>123</v>
      </c>
      <c r="D73" s="3376" t="s">
        <v>5333</v>
      </c>
      <c r="E73" s="2697" t="s">
        <v>5334</v>
      </c>
      <c r="F73" s="2719"/>
      <c r="G73" s="2697"/>
      <c r="H73" s="2700"/>
      <c r="I73" s="2726"/>
      <c r="J73" s="2726"/>
      <c r="K73" s="2789">
        <f>+K74</f>
        <v>2316513</v>
      </c>
      <c r="L73" s="2790">
        <f>SUM(L74:L75)</f>
        <v>1</v>
      </c>
      <c r="M73" s="2797">
        <f>SUM(M74)</f>
        <v>2283846</v>
      </c>
      <c r="N73" s="2809">
        <f>N74</f>
        <v>0.9859</v>
      </c>
      <c r="O73" s="3378">
        <f>IF(Q73&gt;0,N73,"NA")</f>
        <v>0.9859</v>
      </c>
      <c r="P73" s="2732">
        <f>SUM(P74)</f>
        <v>1529369925</v>
      </c>
      <c r="Q73" s="2732">
        <f t="shared" ref="Q73:S73" si="28">SUM(Q74)</f>
        <v>1529369925</v>
      </c>
      <c r="R73" s="2732">
        <f t="shared" si="28"/>
        <v>523387000</v>
      </c>
      <c r="S73" s="2732">
        <f t="shared" si="28"/>
        <v>325930309</v>
      </c>
      <c r="T73" s="2810">
        <f t="shared" ref="T73:T74" si="29">+IF(Q73=0,0,R73/Q73)</f>
        <v>0.34222393905124032</v>
      </c>
      <c r="U73" s="2810">
        <f>+IF(R73=0,0,S73/R73)</f>
        <v>0.62273290891825739</v>
      </c>
      <c r="V73" s="2694"/>
      <c r="W73" s="2694"/>
      <c r="X73" s="2716"/>
      <c r="Y73" s="3374" t="s">
        <v>5237</v>
      </c>
    </row>
    <row r="74" spans="1:25" ht="237.6">
      <c r="A74" s="3374"/>
      <c r="B74" s="3374"/>
      <c r="C74" s="3374"/>
      <c r="D74" s="3376"/>
      <c r="E74" s="2697" t="s">
        <v>5335</v>
      </c>
      <c r="F74" s="2719"/>
      <c r="G74" s="2697" t="s">
        <v>5336</v>
      </c>
      <c r="H74" s="2743"/>
      <c r="I74" s="2726" t="s">
        <v>5337</v>
      </c>
      <c r="J74" s="2726" t="s">
        <v>5319</v>
      </c>
      <c r="K74" s="2621">
        <v>2316513</v>
      </c>
      <c r="L74" s="2790">
        <v>1</v>
      </c>
      <c r="M74" s="2798">
        <v>2283846</v>
      </c>
      <c r="N74" s="2792">
        <v>0.9859</v>
      </c>
      <c r="O74" s="3378"/>
      <c r="P74" s="2732">
        <v>1529369925</v>
      </c>
      <c r="Q74" s="2732">
        <v>1529369925</v>
      </c>
      <c r="R74" s="2732">
        <v>523387000</v>
      </c>
      <c r="S74" s="2732">
        <v>325930309</v>
      </c>
      <c r="T74" s="2810">
        <f t="shared" si="29"/>
        <v>0.34222393905124032</v>
      </c>
      <c r="U74" s="2810">
        <f>+IF(R74=0,0,S74/R74)</f>
        <v>0.62273290891825739</v>
      </c>
      <c r="V74" s="2770">
        <v>45321</v>
      </c>
      <c r="W74" s="2715">
        <v>45657</v>
      </c>
      <c r="X74" s="2716" t="s">
        <v>5338</v>
      </c>
      <c r="Y74" s="3374"/>
    </row>
    <row r="75" spans="1:25">
      <c r="A75" s="2702"/>
      <c r="B75" s="2702">
        <v>53020010007</v>
      </c>
      <c r="C75" s="2702" t="s">
        <v>117</v>
      </c>
      <c r="D75" s="2703" t="s">
        <v>5339</v>
      </c>
      <c r="E75" s="2697"/>
      <c r="F75" s="2717"/>
      <c r="G75" s="2697"/>
      <c r="H75" s="2700"/>
      <c r="I75" s="2726"/>
      <c r="J75" s="2726"/>
      <c r="K75" s="2726"/>
      <c r="L75" s="2790"/>
      <c r="M75" s="2780"/>
      <c r="N75" s="2808"/>
      <c r="O75" s="2808"/>
      <c r="P75" s="2734"/>
      <c r="Q75" s="2721"/>
      <c r="R75" s="2780"/>
      <c r="S75" s="2780"/>
      <c r="T75" s="2814"/>
      <c r="U75" s="2814"/>
      <c r="V75" s="2715"/>
      <c r="W75" s="2715"/>
      <c r="X75" s="2739"/>
      <c r="Y75" s="2694"/>
    </row>
    <row r="76" spans="1:25">
      <c r="A76" s="3374">
        <v>4182</v>
      </c>
      <c r="B76" s="3374"/>
      <c r="C76" s="3374" t="s">
        <v>123</v>
      </c>
      <c r="D76" s="3376" t="s">
        <v>5340</v>
      </c>
      <c r="E76" s="2697" t="s">
        <v>5341</v>
      </c>
      <c r="F76" s="2744"/>
      <c r="G76" s="2697"/>
      <c r="H76" s="2712"/>
      <c r="I76" s="2726"/>
      <c r="J76" s="2726"/>
      <c r="K76" s="2726">
        <f>K77</f>
        <v>1</v>
      </c>
      <c r="L76" s="2790">
        <f>SUM(L77)</f>
        <v>1</v>
      </c>
      <c r="M76" s="2732">
        <f>SUM(M77)</f>
        <v>0</v>
      </c>
      <c r="N76" s="2792">
        <f>SUM(N77)</f>
        <v>0</v>
      </c>
      <c r="O76" s="3378">
        <f>IF(Q76&gt;0,N76,"NA")</f>
        <v>0</v>
      </c>
      <c r="P76" s="2732">
        <f>SUM(P77)</f>
        <v>2500000000</v>
      </c>
      <c r="Q76" s="2732">
        <f t="shared" ref="Q76:S76" si="30">SUM(Q77)</f>
        <v>2500000000</v>
      </c>
      <c r="R76" s="2732">
        <f t="shared" si="30"/>
        <v>201261000</v>
      </c>
      <c r="S76" s="2732">
        <f t="shared" si="30"/>
        <v>145279000</v>
      </c>
      <c r="T76" s="2810">
        <f t="shared" ref="T76:T77" si="31">+IF(Q76=0,0,R76/Q76)</f>
        <v>8.0504400000000004E-2</v>
      </c>
      <c r="U76" s="2810">
        <f>+IF(R76=0,0,S76/R76)</f>
        <v>0.72184377499863361</v>
      </c>
      <c r="V76" s="2694"/>
      <c r="W76" s="2694"/>
      <c r="X76" s="2716"/>
      <c r="Y76" s="3374" t="s">
        <v>5237</v>
      </c>
    </row>
    <row r="77" spans="1:25" ht="224.4">
      <c r="A77" s="3374"/>
      <c r="B77" s="3374"/>
      <c r="C77" s="3374"/>
      <c r="D77" s="3376"/>
      <c r="E77" s="2697" t="s">
        <v>5342</v>
      </c>
      <c r="F77" s="2744"/>
      <c r="G77" s="2697" t="s">
        <v>5343</v>
      </c>
      <c r="H77" s="2712"/>
      <c r="I77" s="2726" t="s">
        <v>5344</v>
      </c>
      <c r="J77" s="2726" t="s">
        <v>5345</v>
      </c>
      <c r="K77" s="2726">
        <v>1</v>
      </c>
      <c r="L77" s="2790">
        <v>1</v>
      </c>
      <c r="M77" s="2732">
        <v>0</v>
      </c>
      <c r="N77" s="2792">
        <v>0</v>
      </c>
      <c r="O77" s="3378"/>
      <c r="P77" s="2732">
        <v>2500000000</v>
      </c>
      <c r="Q77" s="2732">
        <v>2500000000</v>
      </c>
      <c r="R77" s="2732">
        <v>201261000</v>
      </c>
      <c r="S77" s="2732">
        <v>145279000</v>
      </c>
      <c r="T77" s="2810">
        <f t="shared" si="31"/>
        <v>8.0504400000000004E-2</v>
      </c>
      <c r="U77" s="2810">
        <f>+IF(R77=0,0,S77/R77)</f>
        <v>0.72184377499863361</v>
      </c>
      <c r="V77" s="2770">
        <v>45321</v>
      </c>
      <c r="W77" s="2715">
        <v>45657</v>
      </c>
      <c r="X77" s="2724" t="s">
        <v>5346</v>
      </c>
      <c r="Y77" s="3374"/>
    </row>
    <row r="78" spans="1:25" ht="27.6">
      <c r="A78" s="2700"/>
      <c r="B78" s="2622">
        <v>53020010008</v>
      </c>
      <c r="C78" s="2702" t="s">
        <v>117</v>
      </c>
      <c r="D78" s="2599" t="s">
        <v>5347</v>
      </c>
      <c r="E78" s="2697"/>
      <c r="F78" s="2744"/>
      <c r="G78" s="2697"/>
      <c r="H78" s="2712"/>
      <c r="I78" s="2726"/>
      <c r="J78" s="2726"/>
      <c r="K78" s="2726"/>
      <c r="L78" s="2790"/>
      <c r="M78" s="2732"/>
      <c r="N78" s="2792"/>
      <c r="O78" s="2737"/>
      <c r="P78" s="2732"/>
      <c r="Q78" s="2732"/>
      <c r="R78" s="2732"/>
      <c r="S78" s="2732"/>
      <c r="T78" s="2810"/>
      <c r="U78" s="2810"/>
      <c r="V78" s="2715"/>
      <c r="W78" s="2715"/>
      <c r="X78" s="2724"/>
      <c r="Y78" s="2700"/>
    </row>
    <row r="79" spans="1:25">
      <c r="A79" s="3374">
        <v>4182</v>
      </c>
      <c r="B79" s="3374"/>
      <c r="C79" s="3374" t="s">
        <v>123</v>
      </c>
      <c r="D79" s="3376" t="s">
        <v>5348</v>
      </c>
      <c r="E79" s="2697" t="s">
        <v>5349</v>
      </c>
      <c r="F79" s="2744"/>
      <c r="G79" s="2697"/>
      <c r="H79" s="2712"/>
      <c r="I79" s="2726"/>
      <c r="J79" s="2726"/>
      <c r="K79" s="2726">
        <f>K80</f>
        <v>1</v>
      </c>
      <c r="L79" s="2790">
        <f>L80</f>
        <v>1</v>
      </c>
      <c r="M79" s="2732">
        <f>SUM(M80)</f>
        <v>0</v>
      </c>
      <c r="N79" s="2792">
        <f>SUM(N80)</f>
        <v>0</v>
      </c>
      <c r="O79" s="3378">
        <f>IF(Q79&gt;0,N79,"NA")</f>
        <v>0</v>
      </c>
      <c r="P79" s="2732">
        <f>SUM(P80)</f>
        <v>434496126</v>
      </c>
      <c r="Q79" s="2732">
        <f t="shared" ref="Q79:S79" si="32">SUM(Q80)</f>
        <v>434496126</v>
      </c>
      <c r="R79" s="2732">
        <f t="shared" si="32"/>
        <v>64843000</v>
      </c>
      <c r="S79" s="2732">
        <f t="shared" si="32"/>
        <v>37677000</v>
      </c>
      <c r="T79" s="2810">
        <f t="shared" ref="T79:T80" si="33">+IF(Q79=0,0,R79/Q79)</f>
        <v>0.14923723393565999</v>
      </c>
      <c r="U79" s="2810">
        <f>+IF(R79=0,0,S79/R79)</f>
        <v>0.58104961214009221</v>
      </c>
      <c r="V79" s="2715"/>
      <c r="W79" s="2715"/>
      <c r="X79" s="2724"/>
      <c r="Y79" s="2700"/>
    </row>
    <row r="80" spans="1:25" ht="132">
      <c r="A80" s="3374"/>
      <c r="B80" s="3374"/>
      <c r="C80" s="3374"/>
      <c r="D80" s="3376"/>
      <c r="E80" s="2772" t="s">
        <v>5350</v>
      </c>
      <c r="F80" s="2744"/>
      <c r="G80" s="2611" t="s">
        <v>5351</v>
      </c>
      <c r="H80" s="2712"/>
      <c r="I80" s="2613" t="s">
        <v>5352</v>
      </c>
      <c r="J80" s="2726" t="s">
        <v>5353</v>
      </c>
      <c r="K80" s="2617">
        <v>1</v>
      </c>
      <c r="L80" s="2790">
        <v>1</v>
      </c>
      <c r="M80" s="2732">
        <v>0</v>
      </c>
      <c r="N80" s="2792">
        <v>0</v>
      </c>
      <c r="O80" s="3378"/>
      <c r="P80" s="2732">
        <v>434496126</v>
      </c>
      <c r="Q80" s="2732">
        <v>434496126</v>
      </c>
      <c r="R80" s="2732">
        <v>64843000</v>
      </c>
      <c r="S80" s="2732">
        <v>37677000</v>
      </c>
      <c r="T80" s="2810">
        <f t="shared" si="33"/>
        <v>0.14923723393565999</v>
      </c>
      <c r="U80" s="2810">
        <f>+IF(R80=0,0,S80/R80)</f>
        <v>0.58104961214009221</v>
      </c>
      <c r="V80" s="2770">
        <v>45321</v>
      </c>
      <c r="W80" s="2715">
        <v>45657</v>
      </c>
      <c r="X80" s="2724" t="s">
        <v>5354</v>
      </c>
      <c r="Y80" s="2700" t="s">
        <v>5192</v>
      </c>
    </row>
    <row r="81" spans="1:25" ht="27.6">
      <c r="A81" s="2702"/>
      <c r="B81" s="2702">
        <v>53020010011</v>
      </c>
      <c r="C81" s="2702" t="s">
        <v>117</v>
      </c>
      <c r="D81" s="2733" t="s">
        <v>5355</v>
      </c>
      <c r="E81" s="2697"/>
      <c r="F81" s="2712"/>
      <c r="G81" s="2697"/>
      <c r="H81" s="2712"/>
      <c r="I81" s="2726"/>
      <c r="J81" s="2726"/>
      <c r="K81" s="2726"/>
      <c r="L81" s="2790"/>
      <c r="M81" s="2726"/>
      <c r="N81" s="2808"/>
      <c r="O81" s="2808"/>
      <c r="P81" s="2734"/>
      <c r="Q81" s="2721"/>
      <c r="R81" s="2780"/>
      <c r="S81" s="2780"/>
      <c r="T81" s="2814"/>
      <c r="U81" s="2814"/>
      <c r="V81" s="2715"/>
      <c r="W81" s="2715"/>
      <c r="X81" s="2739"/>
      <c r="Y81" s="2694"/>
    </row>
    <row r="82" spans="1:25">
      <c r="A82" s="3374">
        <v>4182</v>
      </c>
      <c r="B82" s="3374"/>
      <c r="C82" s="3374" t="s">
        <v>123</v>
      </c>
      <c r="D82" s="3376" t="s">
        <v>5356</v>
      </c>
      <c r="E82" s="2772" t="s">
        <v>5357</v>
      </c>
      <c r="F82" s="2710"/>
      <c r="G82" s="2697"/>
      <c r="H82" s="2712"/>
      <c r="I82" s="2726"/>
      <c r="J82" s="2726"/>
      <c r="K82" s="2726">
        <v>1</v>
      </c>
      <c r="L82" s="2790">
        <f>SUM(L83)</f>
        <v>1</v>
      </c>
      <c r="M82" s="2799">
        <f>SUM(M83)</f>
        <v>0.23</v>
      </c>
      <c r="N82" s="2792">
        <f>SUM(N83)</f>
        <v>0.23</v>
      </c>
      <c r="O82" s="3378">
        <f>IF(Q82&gt;0,N82,"NA")</f>
        <v>0.23</v>
      </c>
      <c r="P82" s="2732">
        <f>SUM(P83)</f>
        <v>1825540110</v>
      </c>
      <c r="Q82" s="2732">
        <f t="shared" ref="Q82:S82" si="34">SUM(Q83)</f>
        <v>1825540110</v>
      </c>
      <c r="R82" s="2732">
        <f t="shared" si="34"/>
        <v>503301000</v>
      </c>
      <c r="S82" s="2732">
        <f t="shared" si="34"/>
        <v>323699000</v>
      </c>
      <c r="T82" s="2810">
        <f t="shared" ref="T82:T83" si="35">+IF(Q82=0,0,R82/Q82)</f>
        <v>0.27569977632537473</v>
      </c>
      <c r="U82" s="2810">
        <f>+IF(R82=0,0,S82/R82)</f>
        <v>0.64315191108302983</v>
      </c>
      <c r="V82" s="2694"/>
      <c r="W82" s="2694"/>
      <c r="X82" s="2716"/>
      <c r="Y82" s="3374" t="s">
        <v>5237</v>
      </c>
    </row>
    <row r="83" spans="1:25" ht="224.4">
      <c r="A83" s="3374"/>
      <c r="B83" s="3374"/>
      <c r="C83" s="3374"/>
      <c r="D83" s="3376"/>
      <c r="E83" s="2697" t="s">
        <v>5358</v>
      </c>
      <c r="F83" s="2719"/>
      <c r="G83" s="2611" t="s">
        <v>5359</v>
      </c>
      <c r="H83" s="2712"/>
      <c r="I83" s="2613" t="s">
        <v>5360</v>
      </c>
      <c r="J83" s="2726" t="s">
        <v>5326</v>
      </c>
      <c r="K83" s="2617">
        <v>1</v>
      </c>
      <c r="L83" s="2790">
        <v>1</v>
      </c>
      <c r="M83" s="2800">
        <v>0.23</v>
      </c>
      <c r="N83" s="2792">
        <v>0.23</v>
      </c>
      <c r="O83" s="3378"/>
      <c r="P83" s="2732">
        <v>1825540110</v>
      </c>
      <c r="Q83" s="2732">
        <v>1825540110</v>
      </c>
      <c r="R83" s="2732">
        <v>503301000</v>
      </c>
      <c r="S83" s="2732">
        <v>323699000</v>
      </c>
      <c r="T83" s="2810">
        <f t="shared" si="35"/>
        <v>0.27569977632537473</v>
      </c>
      <c r="U83" s="2810">
        <f>+IF(R83=0,0,S83/R83)</f>
        <v>0.64315191108302983</v>
      </c>
      <c r="V83" s="2770">
        <v>45321</v>
      </c>
      <c r="W83" s="2715">
        <v>45657</v>
      </c>
      <c r="X83" s="2724" t="s">
        <v>5361</v>
      </c>
      <c r="Y83" s="3374"/>
    </row>
    <row r="84" spans="1:25">
      <c r="A84" s="2700"/>
      <c r="B84" s="2700">
        <v>5303</v>
      </c>
      <c r="C84" s="2700" t="s">
        <v>5362</v>
      </c>
      <c r="D84" s="2697" t="s">
        <v>5363</v>
      </c>
      <c r="E84" s="2697"/>
      <c r="F84" s="2719"/>
      <c r="G84" s="2697"/>
      <c r="H84" s="2700"/>
      <c r="I84" s="2726"/>
      <c r="J84" s="2726"/>
      <c r="K84" s="2726"/>
      <c r="L84" s="2790"/>
      <c r="M84" s="2780"/>
      <c r="N84" s="2808"/>
      <c r="O84" s="2808"/>
      <c r="P84" s="2734"/>
      <c r="Q84" s="2721"/>
      <c r="R84" s="2780"/>
      <c r="S84" s="2780"/>
      <c r="T84" s="2814"/>
      <c r="U84" s="2814"/>
      <c r="V84" s="2715"/>
      <c r="W84" s="2715"/>
      <c r="X84" s="2739"/>
      <c r="Y84" s="2694"/>
    </row>
    <row r="85" spans="1:25">
      <c r="A85" s="2700"/>
      <c r="B85" s="2700">
        <v>5303001</v>
      </c>
      <c r="C85" s="2695" t="s">
        <v>116</v>
      </c>
      <c r="D85" s="2696" t="s">
        <v>5364</v>
      </c>
      <c r="E85" s="2697"/>
      <c r="F85" s="2700"/>
      <c r="G85" s="2697"/>
      <c r="H85" s="2700"/>
      <c r="I85" s="2726"/>
      <c r="J85" s="2726"/>
      <c r="K85" s="2726"/>
      <c r="L85" s="2790"/>
      <c r="M85" s="2780"/>
      <c r="N85" s="2808"/>
      <c r="O85" s="2808"/>
      <c r="P85" s="2734"/>
      <c r="Q85" s="2721"/>
      <c r="R85" s="2780"/>
      <c r="S85" s="2780"/>
      <c r="T85" s="2814"/>
      <c r="U85" s="2814"/>
      <c r="V85" s="2694"/>
      <c r="W85" s="2694"/>
      <c r="X85" s="2739"/>
      <c r="Y85" s="2694"/>
    </row>
    <row r="86" spans="1:25" ht="26.4">
      <c r="A86" s="2726"/>
      <c r="B86" s="2700">
        <v>53030030004</v>
      </c>
      <c r="C86" s="2700" t="s">
        <v>117</v>
      </c>
      <c r="D86" s="2697" t="s">
        <v>5365</v>
      </c>
      <c r="E86" s="2697"/>
      <c r="F86" s="2700"/>
      <c r="G86" s="2697"/>
      <c r="H86" s="2700"/>
      <c r="I86" s="2726"/>
      <c r="J86" s="2726"/>
      <c r="K86" s="2790"/>
      <c r="L86" s="2790"/>
      <c r="M86" s="2801"/>
      <c r="N86" s="2792"/>
      <c r="O86" s="2737"/>
      <c r="P86" s="2732"/>
      <c r="Q86" s="2732"/>
      <c r="R86" s="2726"/>
      <c r="S86" s="2726"/>
      <c r="T86" s="2810"/>
      <c r="U86" s="2810"/>
      <c r="V86" s="2694"/>
      <c r="W86" s="2694"/>
      <c r="X86" s="2724"/>
      <c r="Y86" s="2700"/>
    </row>
    <row r="87" spans="1:25">
      <c r="A87" s="3386">
        <v>4182</v>
      </c>
      <c r="B87" s="3374"/>
      <c r="C87" s="3374" t="s">
        <v>123</v>
      </c>
      <c r="D87" s="3374" t="s">
        <v>5366</v>
      </c>
      <c r="E87" s="2697" t="s">
        <v>5367</v>
      </c>
      <c r="F87" s="2700"/>
      <c r="G87" s="2697"/>
      <c r="H87" s="2712"/>
      <c r="I87" s="2726"/>
      <c r="J87" s="2726"/>
      <c r="K87" s="2726">
        <f>+K88</f>
        <v>2</v>
      </c>
      <c r="L87" s="2790">
        <f>+L88</f>
        <v>1</v>
      </c>
      <c r="M87" s="2789">
        <f>SUM(M88:M88)</f>
        <v>0</v>
      </c>
      <c r="N87" s="2792">
        <f>SUM(N88:N88)</f>
        <v>0</v>
      </c>
      <c r="O87" s="3378">
        <f>IF(Q87&gt;0,N87,"NA")</f>
        <v>0</v>
      </c>
      <c r="P87" s="2732">
        <f>SUM(P88:P89)</f>
        <v>211000000</v>
      </c>
      <c r="Q87" s="2732">
        <f>SUM(Q88:Q89)</f>
        <v>211000000</v>
      </c>
      <c r="R87" s="2732">
        <f>SUM(R88:R88)</f>
        <v>0</v>
      </c>
      <c r="S87" s="2732">
        <f>SUM(S88:S89)</f>
        <v>0</v>
      </c>
      <c r="T87" s="2810">
        <f t="shared" ref="T87:T88" si="36">+IF(Q87=0,0,R87/Q87)</f>
        <v>0</v>
      </c>
      <c r="U87" s="2810">
        <f>+IF(R87=0,0,S87/R87)</f>
        <v>0</v>
      </c>
      <c r="V87" s="2694"/>
      <c r="W87" s="2694"/>
      <c r="X87" s="2724"/>
      <c r="Y87" s="2700"/>
    </row>
    <row r="88" spans="1:25" ht="52.8">
      <c r="A88" s="3388"/>
      <c r="B88" s="3374"/>
      <c r="C88" s="3374"/>
      <c r="D88" s="3374"/>
      <c r="E88" s="2772" t="s">
        <v>5368</v>
      </c>
      <c r="F88" s="2700"/>
      <c r="G88" s="2697" t="s">
        <v>5369</v>
      </c>
      <c r="H88" s="2712"/>
      <c r="I88" s="2726" t="s">
        <v>5370</v>
      </c>
      <c r="J88" s="2726" t="s">
        <v>5371</v>
      </c>
      <c r="K88" s="2726">
        <v>2</v>
      </c>
      <c r="L88" s="2790">
        <v>1</v>
      </c>
      <c r="M88" s="2789">
        <v>0</v>
      </c>
      <c r="N88" s="2792">
        <v>0</v>
      </c>
      <c r="O88" s="3378"/>
      <c r="P88" s="2732">
        <v>211000000</v>
      </c>
      <c r="Q88" s="2732">
        <v>211000000</v>
      </c>
      <c r="R88" s="2732">
        <v>0</v>
      </c>
      <c r="S88" s="2732">
        <v>0</v>
      </c>
      <c r="T88" s="2810">
        <f t="shared" si="36"/>
        <v>0</v>
      </c>
      <c r="U88" s="2810">
        <f>+IF(R88=0,0,S88/R88)</f>
        <v>0</v>
      </c>
      <c r="V88" s="2770"/>
      <c r="W88" s="2715"/>
      <c r="X88" s="2724"/>
      <c r="Y88" s="2700" t="s">
        <v>5192</v>
      </c>
    </row>
    <row r="89" spans="1:25" ht="27.6">
      <c r="A89" s="2726"/>
      <c r="B89" s="2702">
        <v>53030030006</v>
      </c>
      <c r="C89" s="2702" t="s">
        <v>117</v>
      </c>
      <c r="D89" s="2703" t="s">
        <v>5372</v>
      </c>
      <c r="E89" s="2697"/>
      <c r="F89" s="2719"/>
      <c r="G89" s="2697"/>
      <c r="H89" s="2700"/>
      <c r="I89" s="2726"/>
      <c r="J89" s="2726"/>
      <c r="K89" s="2726"/>
      <c r="L89" s="2790"/>
      <c r="M89" s="2780"/>
      <c r="N89" s="2808"/>
      <c r="O89" s="2808"/>
      <c r="P89" s="2734"/>
      <c r="Q89" s="2721"/>
      <c r="R89" s="2780"/>
      <c r="S89" s="2780"/>
      <c r="T89" s="2814"/>
      <c r="U89" s="2814"/>
      <c r="V89" s="2694"/>
      <c r="W89" s="2694"/>
      <c r="X89" s="2739"/>
      <c r="Y89" s="2694"/>
    </row>
    <row r="90" spans="1:25">
      <c r="A90" s="3386">
        <v>4182</v>
      </c>
      <c r="B90" s="3374"/>
      <c r="C90" s="3374" t="s">
        <v>123</v>
      </c>
      <c r="D90" s="3376" t="s">
        <v>5373</v>
      </c>
      <c r="E90" s="2697" t="s">
        <v>5374</v>
      </c>
      <c r="F90" s="2719"/>
      <c r="G90" s="2697"/>
      <c r="H90" s="2700"/>
      <c r="I90" s="2726"/>
      <c r="J90" s="2726"/>
      <c r="K90" s="2726">
        <f>SUM(K91:K91)</f>
        <v>1</v>
      </c>
      <c r="L90" s="2790">
        <f>SUM(L91:L91)</f>
        <v>0.1</v>
      </c>
      <c r="M90" s="2726">
        <f>SUM(M91:M91)</f>
        <v>0</v>
      </c>
      <c r="N90" s="2792">
        <f>SUM(N91:N91)</f>
        <v>0</v>
      </c>
      <c r="O90" s="3378">
        <f>IF(Q90&gt;0,N90,"NA")</f>
        <v>0</v>
      </c>
      <c r="P90" s="2732">
        <f>SUM(P91:P91)</f>
        <v>1968480941</v>
      </c>
      <c r="Q90" s="2732">
        <f>SUM(Q91:Q91)</f>
        <v>1968480941</v>
      </c>
      <c r="R90" s="2732">
        <f>SUM(R91:R91)</f>
        <v>166576000</v>
      </c>
      <c r="S90" s="2732">
        <f>SUM(S91:S91)</f>
        <v>118342000</v>
      </c>
      <c r="T90" s="2810">
        <f t="shared" ref="T90:T91" si="37">+IF(Q90=0,0,R90/Q90)</f>
        <v>8.4621596547121453E-2</v>
      </c>
      <c r="U90" s="2810">
        <f>+IF(R90=0,0,S90/R90)</f>
        <v>0.71043847853232156</v>
      </c>
      <c r="V90" s="2694"/>
      <c r="W90" s="2694"/>
      <c r="X90" s="2716"/>
      <c r="Y90" s="3374" t="s">
        <v>5237</v>
      </c>
    </row>
    <row r="91" spans="1:25" ht="132">
      <c r="A91" s="3388"/>
      <c r="B91" s="3374"/>
      <c r="C91" s="3374"/>
      <c r="D91" s="3376"/>
      <c r="E91" s="2772" t="s">
        <v>5375</v>
      </c>
      <c r="F91" s="2719"/>
      <c r="G91" s="2697" t="s">
        <v>5369</v>
      </c>
      <c r="H91" s="2713"/>
      <c r="I91" s="2726" t="s">
        <v>5376</v>
      </c>
      <c r="J91" s="2726" t="s">
        <v>5371</v>
      </c>
      <c r="K91" s="2726">
        <v>1</v>
      </c>
      <c r="L91" s="2790">
        <v>0.1</v>
      </c>
      <c r="M91" s="2726">
        <v>0</v>
      </c>
      <c r="N91" s="2792">
        <v>0</v>
      </c>
      <c r="O91" s="3378"/>
      <c r="P91" s="2732">
        <v>1968480941</v>
      </c>
      <c r="Q91" s="2732">
        <v>1968480941</v>
      </c>
      <c r="R91" s="2732">
        <v>166576000</v>
      </c>
      <c r="S91" s="2732">
        <v>118342000</v>
      </c>
      <c r="T91" s="2810">
        <f t="shared" si="37"/>
        <v>8.4621596547121453E-2</v>
      </c>
      <c r="U91" s="2810">
        <f>+IF(R91=0,0,S91/R91)</f>
        <v>0.71043847853232156</v>
      </c>
      <c r="V91" s="2770">
        <v>45321</v>
      </c>
      <c r="W91" s="2715">
        <v>45657</v>
      </c>
      <c r="X91" s="2716" t="s">
        <v>5377</v>
      </c>
      <c r="Y91" s="3374"/>
    </row>
    <row r="92" spans="1:25" ht="15.6">
      <c r="A92" s="2700"/>
      <c r="B92" s="2683">
        <v>54</v>
      </c>
      <c r="C92" s="2683" t="s">
        <v>114</v>
      </c>
      <c r="D92" s="2728" t="s">
        <v>148</v>
      </c>
      <c r="E92" s="2697"/>
      <c r="F92" s="2719"/>
      <c r="G92" s="2697"/>
      <c r="H92" s="2700"/>
      <c r="I92" s="2726"/>
      <c r="J92" s="2726"/>
      <c r="K92" s="2726"/>
      <c r="L92" s="2790"/>
      <c r="M92" s="2780"/>
      <c r="N92" s="2808"/>
      <c r="O92" s="2808"/>
      <c r="P92" s="2734"/>
      <c r="Q92" s="2721"/>
      <c r="R92" s="2780"/>
      <c r="S92" s="2780"/>
      <c r="T92" s="2814"/>
      <c r="U92" s="2814"/>
      <c r="V92" s="2715"/>
      <c r="W92" s="2715"/>
      <c r="X92" s="2739"/>
      <c r="Y92" s="2700"/>
    </row>
    <row r="93" spans="1:25" s="420" customFormat="1" ht="15.6">
      <c r="A93" s="2683"/>
      <c r="B93" s="2683">
        <v>5401</v>
      </c>
      <c r="C93" s="2683" t="s">
        <v>115</v>
      </c>
      <c r="D93" s="2684" t="s">
        <v>150</v>
      </c>
      <c r="E93" s="2684"/>
      <c r="F93" s="2738"/>
      <c r="G93" s="2684"/>
      <c r="H93" s="2683"/>
      <c r="I93" s="2783"/>
      <c r="J93" s="2783"/>
      <c r="K93" s="2783"/>
      <c r="L93" s="2793"/>
      <c r="M93" s="2783"/>
      <c r="N93" s="2807"/>
      <c r="O93" s="2807"/>
      <c r="P93" s="2785"/>
      <c r="Q93" s="2783"/>
      <c r="R93" s="2783"/>
      <c r="S93" s="2783"/>
      <c r="T93" s="2813"/>
      <c r="U93" s="2813"/>
      <c r="V93" s="2694"/>
      <c r="W93" s="2694"/>
      <c r="X93" s="2784"/>
      <c r="Y93" s="2682"/>
    </row>
    <row r="94" spans="1:25" ht="15.6">
      <c r="A94" s="2726"/>
      <c r="B94" s="2695">
        <v>5402001</v>
      </c>
      <c r="C94" s="2695" t="s">
        <v>116</v>
      </c>
      <c r="D94" s="2696" t="s">
        <v>119</v>
      </c>
      <c r="E94" s="2696"/>
      <c r="F94" s="2778"/>
      <c r="G94" s="2696"/>
      <c r="H94" s="2695"/>
      <c r="I94" s="2780"/>
      <c r="J94" s="2780"/>
      <c r="K94" s="2780"/>
      <c r="L94" s="2794"/>
      <c r="M94" s="2780"/>
      <c r="N94" s="2808"/>
      <c r="O94" s="2808"/>
      <c r="P94" s="2786"/>
      <c r="Q94" s="2780"/>
      <c r="R94" s="2780"/>
      <c r="S94" s="2780"/>
      <c r="T94" s="2814"/>
      <c r="U94" s="2814"/>
      <c r="V94" s="2682"/>
      <c r="W94" s="2682"/>
      <c r="X94" s="2739"/>
      <c r="Y94" s="2781"/>
    </row>
    <row r="95" spans="1:25" ht="27.6">
      <c r="A95" s="2726"/>
      <c r="B95" s="2702">
        <v>54020010027</v>
      </c>
      <c r="C95" s="2702" t="s">
        <v>117</v>
      </c>
      <c r="D95" s="2703" t="s">
        <v>5378</v>
      </c>
      <c r="E95" s="2697"/>
      <c r="F95" s="2719"/>
      <c r="G95" s="2697"/>
      <c r="H95" s="2700"/>
      <c r="I95" s="2726"/>
      <c r="J95" s="2726"/>
      <c r="K95" s="2726"/>
      <c r="L95" s="2790"/>
      <c r="M95" s="2780"/>
      <c r="N95" s="2808"/>
      <c r="O95" s="2808"/>
      <c r="P95" s="2734"/>
      <c r="Q95" s="2721"/>
      <c r="R95" s="2780"/>
      <c r="S95" s="2780"/>
      <c r="T95" s="2814"/>
      <c r="U95" s="2814"/>
      <c r="V95" s="2781"/>
      <c r="W95" s="2781"/>
      <c r="X95" s="2739"/>
      <c r="Y95" s="2694"/>
    </row>
    <row r="96" spans="1:25">
      <c r="A96" s="3386">
        <v>4182</v>
      </c>
      <c r="B96" s="3374"/>
      <c r="C96" s="3374" t="s">
        <v>123</v>
      </c>
      <c r="D96" s="2711"/>
      <c r="E96" s="2697" t="s">
        <v>5379</v>
      </c>
      <c r="F96" s="2719"/>
      <c r="G96" s="2697"/>
      <c r="H96" s="2700"/>
      <c r="I96" s="2726"/>
      <c r="J96" s="2726"/>
      <c r="K96" s="2726">
        <f>SUM(K97:K98)</f>
        <v>3</v>
      </c>
      <c r="L96" s="2790">
        <f>SUM(L97:L98)</f>
        <v>1</v>
      </c>
      <c r="M96" s="2726">
        <f>SUM(M97:M98)</f>
        <v>0.75</v>
      </c>
      <c r="N96" s="2809">
        <f>SUM(N97:N98)</f>
        <v>0.25</v>
      </c>
      <c r="O96" s="3378">
        <f>IF(Q96&gt;0,N96,"NA")</f>
        <v>0.25</v>
      </c>
      <c r="P96" s="2732">
        <f>SUM(P97:P98)</f>
        <v>399654833</v>
      </c>
      <c r="Q96" s="2732">
        <f t="shared" ref="Q96:S96" si="38">SUM(Q97:Q98)</f>
        <v>399654833</v>
      </c>
      <c r="R96" s="2732">
        <f>SUM(R97:R98)</f>
        <v>182950000</v>
      </c>
      <c r="S96" s="2732">
        <f t="shared" si="38"/>
        <v>133777000</v>
      </c>
      <c r="T96" s="2810">
        <f t="shared" ref="T96:T98" si="39">+IF(Q96=0,0,R96/Q96)</f>
        <v>0.45777001775929982</v>
      </c>
      <c r="U96" s="2810">
        <f>+IF(R96=0,0,S96/R96)</f>
        <v>0.73122164525826727</v>
      </c>
      <c r="V96" s="2694"/>
      <c r="W96" s="2694"/>
      <c r="X96" s="2716"/>
      <c r="Y96" s="3374" t="s">
        <v>5237</v>
      </c>
    </row>
    <row r="97" spans="1:25" ht="105.6">
      <c r="A97" s="3387"/>
      <c r="B97" s="3374"/>
      <c r="C97" s="3374"/>
      <c r="D97" s="3376" t="s">
        <v>5380</v>
      </c>
      <c r="E97" s="2697" t="s">
        <v>5381</v>
      </c>
      <c r="F97" s="2710"/>
      <c r="G97" s="2697" t="s">
        <v>5378</v>
      </c>
      <c r="H97" s="2700"/>
      <c r="I97" s="2726" t="s">
        <v>5382</v>
      </c>
      <c r="J97" s="2726" t="s">
        <v>3394</v>
      </c>
      <c r="K97" s="2726">
        <v>1</v>
      </c>
      <c r="L97" s="2790">
        <v>0.6</v>
      </c>
      <c r="M97" s="2802">
        <v>0.25</v>
      </c>
      <c r="N97" s="2810" t="s">
        <v>5383</v>
      </c>
      <c r="O97" s="3378"/>
      <c r="P97" s="2732">
        <v>261456857</v>
      </c>
      <c r="Q97" s="2732">
        <v>261456857</v>
      </c>
      <c r="R97" s="2732">
        <v>96382000</v>
      </c>
      <c r="S97" s="2732">
        <v>68851000</v>
      </c>
      <c r="T97" s="2810">
        <f t="shared" si="39"/>
        <v>0.3686344321044141</v>
      </c>
      <c r="U97" s="2810">
        <f>+IF(R97=0,0,S97/R97)</f>
        <v>0.71435537756012535</v>
      </c>
      <c r="V97" s="2770">
        <v>45321</v>
      </c>
      <c r="W97" s="2715">
        <v>45657</v>
      </c>
      <c r="X97" s="2716" t="s">
        <v>5384</v>
      </c>
      <c r="Y97" s="3374"/>
    </row>
    <row r="98" spans="1:25" ht="198">
      <c r="A98" s="3389"/>
      <c r="B98" s="3390"/>
      <c r="C98" s="3390"/>
      <c r="D98" s="3392"/>
      <c r="E98" s="2746" t="s">
        <v>5385</v>
      </c>
      <c r="F98" s="2747"/>
      <c r="G98" s="2746"/>
      <c r="H98" s="2745"/>
      <c r="I98" s="2775" t="s">
        <v>5386</v>
      </c>
      <c r="J98" s="2775" t="s">
        <v>5387</v>
      </c>
      <c r="K98" s="2775">
        <v>2</v>
      </c>
      <c r="L98" s="2803">
        <v>0.4</v>
      </c>
      <c r="M98" s="2804">
        <v>0.5</v>
      </c>
      <c r="N98" s="2811">
        <v>0.25</v>
      </c>
      <c r="O98" s="3391"/>
      <c r="P98" s="2776">
        <v>138197976</v>
      </c>
      <c r="Q98" s="2777">
        <v>138197976</v>
      </c>
      <c r="R98" s="2776">
        <v>86568000</v>
      </c>
      <c r="S98" s="2776">
        <v>64926000</v>
      </c>
      <c r="T98" s="2816">
        <f t="shared" si="39"/>
        <v>0.62640570076076951</v>
      </c>
      <c r="U98" s="2816">
        <f>+IF(R98=0,0,S98/R98)</f>
        <v>0.75</v>
      </c>
      <c r="V98" s="2819">
        <v>45321</v>
      </c>
      <c r="W98" s="2748">
        <v>45657</v>
      </c>
      <c r="X98" s="2749" t="s">
        <v>5388</v>
      </c>
      <c r="Y98" s="3390"/>
    </row>
    <row r="99" spans="1:25" ht="14.4">
      <c r="A99" s="2750"/>
      <c r="B99" s="2751"/>
      <c r="C99" s="2750"/>
      <c r="D99" s="2752"/>
      <c r="E99" s="2752"/>
      <c r="F99" s="2752"/>
      <c r="G99" s="2752"/>
      <c r="H99" s="2753"/>
      <c r="I99" s="2753"/>
      <c r="J99" s="2753"/>
      <c r="K99" s="2754"/>
      <c r="L99" s="2750"/>
      <c r="M99" s="2754"/>
      <c r="N99" s="2755"/>
      <c r="O99" s="2756"/>
      <c r="P99" s="2757"/>
      <c r="Q99" s="2757"/>
      <c r="R99" s="2753"/>
      <c r="S99" s="2753"/>
      <c r="T99" s="2817"/>
      <c r="U99" s="2817"/>
      <c r="V99" s="2754"/>
      <c r="W99" s="2752"/>
      <c r="X99" s="2758"/>
      <c r="Y99" s="2758"/>
    </row>
    <row r="100" spans="1:25">
      <c r="A100" s="2759"/>
      <c r="B100" s="2760" t="s">
        <v>50</v>
      </c>
      <c r="C100" s="2760">
        <f>COUNTIF(C7:C98,"Pr")</f>
        <v>24</v>
      </c>
      <c r="D100" s="2761"/>
      <c r="E100" s="3384" t="s">
        <v>126</v>
      </c>
      <c r="F100" s="3384"/>
      <c r="G100" s="2760">
        <f>COUNTIF(O11:O98,"na")</f>
        <v>0</v>
      </c>
      <c r="H100" s="2760"/>
      <c r="I100" s="2762"/>
      <c r="J100" s="2760"/>
      <c r="K100" s="3385"/>
      <c r="L100" s="3385"/>
      <c r="M100" s="48"/>
      <c r="N100" s="48" t="s">
        <v>1243</v>
      </c>
      <c r="O100" s="2256">
        <f>AVERAGE(O11:O98)</f>
        <v>0.10024583333333333</v>
      </c>
      <c r="P100" s="2763">
        <f>P11+P15+P19+P26+P30+P34+P37+P40+P43+P45+P47+P52+P58+P60+P63+P66+P69+P73+P76+P79+P82+P87+P90+P96</f>
        <v>335710414796</v>
      </c>
      <c r="Q100" s="2763">
        <f t="shared" ref="Q100:S100" si="40">Q11+Q15+Q19+Q26+Q30+Q34+Q37+Q40+Q43+Q45+Q47+Q52+Q58+Q60+Q63+Q66+Q69+Q73+Q76+Q79+Q82+Q87+Q90+Q96</f>
        <v>335710414796</v>
      </c>
      <c r="R100" s="2763">
        <f t="shared" si="40"/>
        <v>31910060955</v>
      </c>
      <c r="S100" s="2763">
        <f t="shared" si="40"/>
        <v>28840565095</v>
      </c>
      <c r="T100" s="2818">
        <f t="shared" ref="T100" si="41">+IF(Q100=0,0,R100/Q100)</f>
        <v>9.5052341388904116E-2</v>
      </c>
      <c r="U100" s="2818">
        <f>+IF(R100=0,0,S100/R100)</f>
        <v>0.90380789731713007</v>
      </c>
      <c r="V100" s="2765"/>
      <c r="W100" s="2757"/>
      <c r="X100" s="2766"/>
      <c r="Y100" s="2766"/>
    </row>
    <row r="101" spans="1:25">
      <c r="A101" s="2759"/>
      <c r="B101" s="2765"/>
      <c r="C101" s="2765"/>
      <c r="D101" s="2761"/>
      <c r="E101" s="46"/>
      <c r="F101" s="48"/>
      <c r="G101" s="46"/>
      <c r="H101" s="48"/>
      <c r="I101" s="2767"/>
      <c r="J101" s="48"/>
      <c r="K101" s="48"/>
      <c r="L101" s="48"/>
      <c r="M101" s="2768"/>
      <c r="N101" s="48" t="s">
        <v>3743</v>
      </c>
      <c r="O101" s="48">
        <f>COUNTIF(O11:O98,"=0%")</f>
        <v>16</v>
      </c>
      <c r="P101" s="2763">
        <v>335710414796</v>
      </c>
      <c r="Q101" s="2763">
        <v>335710414796</v>
      </c>
      <c r="R101" s="2763">
        <v>31910060955</v>
      </c>
      <c r="S101" s="2763">
        <v>28840565095</v>
      </c>
      <c r="T101" s="2764"/>
      <c r="U101" s="2764"/>
      <c r="V101" s="2765"/>
      <c r="W101" s="2757"/>
      <c r="X101" s="2766"/>
      <c r="Y101" s="2766"/>
    </row>
  </sheetData>
  <autoFilter ref="A5:Y6" xr:uid="{00000000-0009-0000-0000-00001B000000}"/>
  <mergeCells count="173">
    <mergeCell ref="E100:F100"/>
    <mergeCell ref="K100:L100"/>
    <mergeCell ref="A30:A32"/>
    <mergeCell ref="B30:B32"/>
    <mergeCell ref="A87:A88"/>
    <mergeCell ref="A90:A91"/>
    <mergeCell ref="A96:A98"/>
    <mergeCell ref="Y90:Y91"/>
    <mergeCell ref="B96:B98"/>
    <mergeCell ref="C96:C98"/>
    <mergeCell ref="O96:O98"/>
    <mergeCell ref="Y96:Y98"/>
    <mergeCell ref="D97:D98"/>
    <mergeCell ref="B90:B91"/>
    <mergeCell ref="C90:C91"/>
    <mergeCell ref="D90:D91"/>
    <mergeCell ref="O90:O91"/>
    <mergeCell ref="Y82:Y83"/>
    <mergeCell ref="B87:B88"/>
    <mergeCell ref="C87:C88"/>
    <mergeCell ref="D87:D88"/>
    <mergeCell ref="O87:O88"/>
    <mergeCell ref="A82:A83"/>
    <mergeCell ref="B82:B83"/>
    <mergeCell ref="C82:C83"/>
    <mergeCell ref="D82:D83"/>
    <mergeCell ref="O82:O83"/>
    <mergeCell ref="Y76:Y77"/>
    <mergeCell ref="A79:A80"/>
    <mergeCell ref="B79:B80"/>
    <mergeCell ref="C79:C80"/>
    <mergeCell ref="D79:D80"/>
    <mergeCell ref="O79:O80"/>
    <mergeCell ref="A76:A77"/>
    <mergeCell ref="B76:B77"/>
    <mergeCell ref="C76:C77"/>
    <mergeCell ref="D76:D77"/>
    <mergeCell ref="O76:O77"/>
    <mergeCell ref="Y69:Y71"/>
    <mergeCell ref="A73:A74"/>
    <mergeCell ref="B73:B74"/>
    <mergeCell ref="C73:C74"/>
    <mergeCell ref="D73:D74"/>
    <mergeCell ref="O73:O74"/>
    <mergeCell ref="Y73:Y74"/>
    <mergeCell ref="A69:A71"/>
    <mergeCell ref="B69:B71"/>
    <mergeCell ref="C69:C71"/>
    <mergeCell ref="D69:D71"/>
    <mergeCell ref="O69:O71"/>
    <mergeCell ref="Y63:Y65"/>
    <mergeCell ref="C66:C67"/>
    <mergeCell ref="D66:D67"/>
    <mergeCell ref="O66:O67"/>
    <mergeCell ref="Y66:Y67"/>
    <mergeCell ref="A63:A67"/>
    <mergeCell ref="B63:B67"/>
    <mergeCell ref="C63:C65"/>
    <mergeCell ref="D63:D65"/>
    <mergeCell ref="O63:O65"/>
    <mergeCell ref="Y58:Y59"/>
    <mergeCell ref="A60:A61"/>
    <mergeCell ref="B60:B61"/>
    <mergeCell ref="C60:C61"/>
    <mergeCell ref="D60:D61"/>
    <mergeCell ref="O60:O61"/>
    <mergeCell ref="Y60:Y61"/>
    <mergeCell ref="A58:A59"/>
    <mergeCell ref="B58:B59"/>
    <mergeCell ref="C58:C59"/>
    <mergeCell ref="D58:D59"/>
    <mergeCell ref="O58:O59"/>
    <mergeCell ref="A52:A53"/>
    <mergeCell ref="B52:B53"/>
    <mergeCell ref="C52:C53"/>
    <mergeCell ref="D52:D53"/>
    <mergeCell ref="O52:O53"/>
    <mergeCell ref="Y45:Y46"/>
    <mergeCell ref="A47:A48"/>
    <mergeCell ref="B47:B48"/>
    <mergeCell ref="C47:C48"/>
    <mergeCell ref="D47:D48"/>
    <mergeCell ref="O47:O48"/>
    <mergeCell ref="Y47:Y48"/>
    <mergeCell ref="A45:A46"/>
    <mergeCell ref="B45:B46"/>
    <mergeCell ref="C45:C46"/>
    <mergeCell ref="D45:D46"/>
    <mergeCell ref="O45:O46"/>
    <mergeCell ref="Y42:Y44"/>
    <mergeCell ref="A43:A44"/>
    <mergeCell ref="B43:B44"/>
    <mergeCell ref="C43:C44"/>
    <mergeCell ref="D43:D44"/>
    <mergeCell ref="O43:O44"/>
    <mergeCell ref="Y37:Y38"/>
    <mergeCell ref="Y39:Y41"/>
    <mergeCell ref="A40:A41"/>
    <mergeCell ref="B40:B41"/>
    <mergeCell ref="C40:C41"/>
    <mergeCell ref="D40:D41"/>
    <mergeCell ref="O40:O41"/>
    <mergeCell ref="A37:A38"/>
    <mergeCell ref="B37:B38"/>
    <mergeCell ref="C37:C38"/>
    <mergeCell ref="D37:D38"/>
    <mergeCell ref="O37:O38"/>
    <mergeCell ref="Y30:Y32"/>
    <mergeCell ref="A34:A35"/>
    <mergeCell ref="B34:B35"/>
    <mergeCell ref="C34:C35"/>
    <mergeCell ref="D34:D35"/>
    <mergeCell ref="O34:O35"/>
    <mergeCell ref="Y34:Y35"/>
    <mergeCell ref="C30:C32"/>
    <mergeCell ref="D30:D32"/>
    <mergeCell ref="O30:O32"/>
    <mergeCell ref="Y19:Y21"/>
    <mergeCell ref="A26:A28"/>
    <mergeCell ref="B26:B28"/>
    <mergeCell ref="C26:C28"/>
    <mergeCell ref="D26:D28"/>
    <mergeCell ref="O26:O28"/>
    <mergeCell ref="Y26:Y28"/>
    <mergeCell ref="A19:A21"/>
    <mergeCell ref="B19:B21"/>
    <mergeCell ref="C19:C21"/>
    <mergeCell ref="D19:D21"/>
    <mergeCell ref="O19:O21"/>
    <mergeCell ref="A15:A17"/>
    <mergeCell ref="B15:B17"/>
    <mergeCell ref="C15:C17"/>
    <mergeCell ref="D15:D17"/>
    <mergeCell ref="O15:O17"/>
    <mergeCell ref="Y15:Y17"/>
    <mergeCell ref="A11:A13"/>
    <mergeCell ref="B11:B13"/>
    <mergeCell ref="C11:C13"/>
    <mergeCell ref="D11:D13"/>
    <mergeCell ref="O11:O13"/>
    <mergeCell ref="V3:W3"/>
    <mergeCell ref="J5:J6"/>
    <mergeCell ref="P5:P6"/>
    <mergeCell ref="A5:A6"/>
    <mergeCell ref="B5:B6"/>
    <mergeCell ref="C5:C6"/>
    <mergeCell ref="D5:D6"/>
    <mergeCell ref="E5:E6"/>
    <mergeCell ref="Y11:Y13"/>
    <mergeCell ref="F5:F6"/>
    <mergeCell ref="G5:G6"/>
    <mergeCell ref="H5:H6"/>
    <mergeCell ref="Q5:Q6"/>
    <mergeCell ref="R5:R6"/>
    <mergeCell ref="M5:M6"/>
    <mergeCell ref="O5:O6"/>
    <mergeCell ref="W5:W6"/>
    <mergeCell ref="A1:X1"/>
    <mergeCell ref="K5:K6"/>
    <mergeCell ref="L5:L6"/>
    <mergeCell ref="N5:N6"/>
    <mergeCell ref="S5:S6"/>
    <mergeCell ref="T5:T6"/>
    <mergeCell ref="U5:U6"/>
    <mergeCell ref="A4:Y4"/>
    <mergeCell ref="A2:Y2"/>
    <mergeCell ref="A3:B3"/>
    <mergeCell ref="C3:R3"/>
    <mergeCell ref="S3:U3"/>
    <mergeCell ref="Y5:Y6"/>
    <mergeCell ref="I5:I6"/>
    <mergeCell ref="X5:X6"/>
    <mergeCell ref="V5:V6"/>
  </mergeCells>
  <dataValidations count="1">
    <dataValidation type="textLength" operator="equal" allowBlank="1" showInputMessage="1" showErrorMessage="1" error="EL BP DEBE CONTENER 10 CARACTERES!!!" sqref="E40:E41 E44:E46 E68 E62:E66" xr:uid="{FDF01143-C1E8-4325-BB57-D1EBD13FB8C2}">
      <formula1>10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20"/>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6" width="12.44140625" style="2" customWidth="1"/>
    <col min="7"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18" width="12.6640625" style="3" customWidth="1"/>
    <col min="19" max="19" width="14.44140625" style="3" customWidth="1"/>
    <col min="20"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63" customFormat="1" ht="24.9" customHeight="1">
      <c r="A3" s="3021" t="s">
        <v>269</v>
      </c>
      <c r="B3" s="3021"/>
      <c r="C3" s="3021" t="s">
        <v>379</v>
      </c>
      <c r="D3" s="3021"/>
      <c r="E3" s="3021"/>
      <c r="F3" s="3021"/>
      <c r="G3" s="3021"/>
      <c r="H3" s="3021"/>
      <c r="I3" s="3021"/>
      <c r="J3" s="3021"/>
      <c r="K3" s="3021"/>
      <c r="L3" s="3021"/>
      <c r="M3" s="3021"/>
      <c r="N3" s="3021"/>
      <c r="O3" s="3021"/>
      <c r="P3" s="3021"/>
      <c r="Q3" s="3021"/>
      <c r="R3" s="3021"/>
      <c r="S3" s="3021"/>
      <c r="T3" s="2876" t="s">
        <v>17</v>
      </c>
      <c r="U3" s="2876"/>
      <c r="V3" s="2877">
        <v>45382</v>
      </c>
      <c r="W3" s="2876"/>
      <c r="X3" s="41" t="s">
        <v>5</v>
      </c>
      <c r="Y3" s="43">
        <v>2024</v>
      </c>
    </row>
    <row r="4" spans="1:25" s="58" customFormat="1" ht="25.5" customHeight="1">
      <c r="A4" s="3350"/>
      <c r="B4" s="3350"/>
      <c r="C4" s="3350"/>
      <c r="D4" s="3350"/>
      <c r="E4" s="3350"/>
      <c r="F4" s="3350"/>
      <c r="G4" s="3350"/>
      <c r="H4" s="3350"/>
      <c r="I4" s="3350"/>
      <c r="J4" s="3350"/>
      <c r="K4" s="3350"/>
      <c r="L4" s="3350"/>
      <c r="M4" s="3350"/>
      <c r="N4" s="3350"/>
      <c r="O4" s="3350"/>
      <c r="P4" s="3350"/>
      <c r="Q4" s="3350"/>
      <c r="R4" s="3350"/>
      <c r="S4" s="3350"/>
      <c r="T4" s="3350"/>
      <c r="U4" s="3350"/>
      <c r="V4" s="3350"/>
      <c r="W4" s="3350"/>
      <c r="X4" s="3350"/>
    </row>
    <row r="5" spans="1:25" s="58" customFormat="1" ht="53.25" customHeight="1">
      <c r="A5" s="2869" t="s">
        <v>88</v>
      </c>
      <c r="B5" s="2869" t="s">
        <v>4</v>
      </c>
      <c r="C5" s="2869" t="s">
        <v>3</v>
      </c>
      <c r="D5" s="2869" t="s">
        <v>108</v>
      </c>
      <c r="E5" s="2869" t="s">
        <v>2</v>
      </c>
      <c r="F5" s="2869" t="s">
        <v>89</v>
      </c>
      <c r="G5" s="2869" t="s">
        <v>106</v>
      </c>
      <c r="H5" s="2869" t="s">
        <v>107</v>
      </c>
      <c r="I5" s="2869" t="s">
        <v>8</v>
      </c>
      <c r="J5" s="2869" t="s">
        <v>9</v>
      </c>
      <c r="K5" s="2869" t="s">
        <v>10</v>
      </c>
      <c r="L5" s="3065" t="s">
        <v>11</v>
      </c>
      <c r="M5" s="2867" t="s">
        <v>100</v>
      </c>
      <c r="N5" s="3063" t="s">
        <v>12</v>
      </c>
      <c r="O5" s="3063" t="s">
        <v>86</v>
      </c>
      <c r="P5" s="3064" t="s">
        <v>1</v>
      </c>
      <c r="Q5" s="3063" t="s">
        <v>13</v>
      </c>
      <c r="R5" s="3063" t="s">
        <v>14</v>
      </c>
      <c r="S5" s="3063" t="s">
        <v>16</v>
      </c>
      <c r="T5" s="3063" t="s">
        <v>15</v>
      </c>
      <c r="U5" s="3063" t="s">
        <v>103</v>
      </c>
      <c r="V5" s="3064" t="s">
        <v>6</v>
      </c>
      <c r="W5" s="3064" t="s">
        <v>7</v>
      </c>
      <c r="X5" s="3063" t="s">
        <v>0</v>
      </c>
      <c r="Y5" s="2908" t="s">
        <v>90</v>
      </c>
    </row>
    <row r="6" spans="1:25" s="58" customFormat="1" ht="42.75" customHeight="1">
      <c r="A6" s="2869"/>
      <c r="B6" s="2869"/>
      <c r="C6" s="2869"/>
      <c r="D6" s="2869"/>
      <c r="E6" s="2869"/>
      <c r="F6" s="2869"/>
      <c r="G6" s="2869"/>
      <c r="H6" s="2869"/>
      <c r="I6" s="2869"/>
      <c r="J6" s="2869"/>
      <c r="K6" s="2869"/>
      <c r="L6" s="3025"/>
      <c r="M6" s="2867"/>
      <c r="N6" s="3012"/>
      <c r="O6" s="3012"/>
      <c r="P6" s="3017"/>
      <c r="Q6" s="3012"/>
      <c r="R6" s="3012"/>
      <c r="S6" s="3012"/>
      <c r="T6" s="3012"/>
      <c r="U6" s="3012"/>
      <c r="V6" s="3017"/>
      <c r="W6" s="3017"/>
      <c r="X6" s="3012"/>
      <c r="Y6" s="3023"/>
    </row>
    <row r="7" spans="1:25" ht="15.6">
      <c r="A7" s="228"/>
      <c r="B7" s="229">
        <v>53</v>
      </c>
      <c r="C7" s="229" t="s">
        <v>114</v>
      </c>
      <c r="D7" s="230" t="s">
        <v>189</v>
      </c>
      <c r="E7" s="228"/>
      <c r="F7" s="231"/>
      <c r="G7" s="228"/>
      <c r="H7" s="231"/>
      <c r="I7" s="228"/>
      <c r="J7" s="231"/>
      <c r="K7" s="232"/>
      <c r="L7" s="233"/>
      <c r="M7" s="234"/>
      <c r="N7" s="234"/>
      <c r="O7" s="235"/>
      <c r="P7" s="234"/>
      <c r="Q7" s="234"/>
      <c r="R7" s="234"/>
      <c r="S7" s="234"/>
      <c r="T7" s="236"/>
      <c r="U7" s="236"/>
      <c r="V7" s="234"/>
      <c r="W7" s="234"/>
      <c r="X7" s="234"/>
      <c r="Y7" s="234"/>
    </row>
    <row r="8" spans="1:25" ht="15.6">
      <c r="A8" s="216"/>
      <c r="B8" s="237">
        <v>5301</v>
      </c>
      <c r="C8" s="237" t="s">
        <v>115</v>
      </c>
      <c r="D8" s="238" t="s">
        <v>262</v>
      </c>
      <c r="E8" s="216"/>
      <c r="F8" s="214"/>
      <c r="G8" s="216"/>
      <c r="H8" s="214"/>
      <c r="I8" s="216"/>
      <c r="J8" s="214"/>
      <c r="K8" s="239"/>
      <c r="L8" s="240"/>
      <c r="M8" s="241"/>
      <c r="N8" s="241"/>
      <c r="O8" s="242"/>
      <c r="P8" s="241"/>
      <c r="Q8" s="241"/>
      <c r="R8" s="241"/>
      <c r="S8" s="241"/>
      <c r="T8" s="243"/>
      <c r="U8" s="243"/>
      <c r="V8" s="241"/>
      <c r="W8" s="241"/>
      <c r="X8" s="241"/>
      <c r="Y8" s="241"/>
    </row>
    <row r="9" spans="1:25">
      <c r="A9" s="216"/>
      <c r="B9" s="221">
        <v>5301003</v>
      </c>
      <c r="C9" s="221" t="s">
        <v>116</v>
      </c>
      <c r="D9" s="215" t="s">
        <v>263</v>
      </c>
      <c r="E9" s="216"/>
      <c r="F9" s="214"/>
      <c r="G9" s="216"/>
      <c r="H9" s="214"/>
      <c r="I9" s="216"/>
      <c r="J9" s="214"/>
      <c r="K9" s="239"/>
      <c r="L9" s="240"/>
      <c r="M9" s="241"/>
      <c r="N9" s="241"/>
      <c r="O9" s="242"/>
      <c r="P9" s="241"/>
      <c r="Q9" s="219"/>
      <c r="R9" s="219"/>
      <c r="S9" s="219"/>
      <c r="T9" s="243"/>
      <c r="U9" s="243"/>
      <c r="V9" s="244"/>
      <c r="W9" s="244"/>
      <c r="X9" s="245"/>
      <c r="Y9" s="216"/>
    </row>
    <row r="10" spans="1:25" ht="14.4">
      <c r="A10" s="223"/>
      <c r="B10" s="224">
        <v>53010030011</v>
      </c>
      <c r="C10" s="224" t="s">
        <v>117</v>
      </c>
      <c r="D10" s="217" t="s">
        <v>264</v>
      </c>
      <c r="E10" s="2820"/>
      <c r="F10" s="2821"/>
      <c r="G10" s="2820"/>
      <c r="H10" s="150"/>
      <c r="I10" s="2820"/>
      <c r="J10" s="2822"/>
      <c r="K10" s="2823"/>
      <c r="L10" s="2824"/>
      <c r="M10" s="2825"/>
      <c r="N10" s="2826"/>
      <c r="O10" s="2827"/>
      <c r="P10" s="2825"/>
      <c r="Q10" s="2828"/>
      <c r="R10" s="2828"/>
      <c r="S10" s="2828"/>
      <c r="T10" s="2829"/>
      <c r="U10" s="2829"/>
      <c r="V10" s="2830"/>
      <c r="W10" s="2830"/>
      <c r="X10" s="2831"/>
      <c r="Y10" s="223"/>
    </row>
    <row r="11" spans="1:25">
      <c r="A11" s="2926">
        <v>4183</v>
      </c>
      <c r="B11" s="3393"/>
      <c r="C11" s="2926" t="s">
        <v>123</v>
      </c>
      <c r="D11" s="3033" t="s">
        <v>368</v>
      </c>
      <c r="E11" s="2833" t="s">
        <v>369</v>
      </c>
      <c r="F11" s="2832"/>
      <c r="G11" s="2833"/>
      <c r="H11" s="2834"/>
      <c r="I11" s="2835"/>
      <c r="J11" s="2835"/>
      <c r="K11" s="2833">
        <f>K12</f>
        <v>1</v>
      </c>
      <c r="L11" s="2836">
        <f>SUM(L12:L15)</f>
        <v>1</v>
      </c>
      <c r="M11" s="2837"/>
      <c r="N11" s="2842">
        <f>SUM(N12:N15)</f>
        <v>0.20516176470588232</v>
      </c>
      <c r="O11" s="3396">
        <f>IF(Q11&gt;0,N11,"na")</f>
        <v>0.20516176470588232</v>
      </c>
      <c r="P11" s="2837">
        <v>6352578747</v>
      </c>
      <c r="Q11" s="2837">
        <v>6352578747</v>
      </c>
      <c r="R11" s="2837">
        <f>SUM(R12:R15)</f>
        <v>1533389218</v>
      </c>
      <c r="S11" s="2838">
        <f>SUM(S12:S15)</f>
        <v>504610500</v>
      </c>
      <c r="T11" s="2839">
        <f>+IF(Q11=0,0,R11/Q11)</f>
        <v>0.24138059189335381</v>
      </c>
      <c r="U11" s="2839">
        <f>+IF(R11=0,0,S11/R11)</f>
        <v>0.32908181046046719</v>
      </c>
      <c r="V11" s="2840"/>
      <c r="W11" s="2840"/>
      <c r="X11" s="2802"/>
      <c r="Y11" s="226"/>
    </row>
    <row r="12" spans="1:25" ht="66">
      <c r="A12" s="2926"/>
      <c r="B12" s="3394"/>
      <c r="C12" s="2926"/>
      <c r="D12" s="3033"/>
      <c r="E12" s="2833" t="s">
        <v>370</v>
      </c>
      <c r="F12" s="2832"/>
      <c r="G12" s="2846" t="s">
        <v>371</v>
      </c>
      <c r="H12" s="2847"/>
      <c r="I12" s="2835" t="s">
        <v>5389</v>
      </c>
      <c r="J12" s="2835" t="s">
        <v>372</v>
      </c>
      <c r="K12" s="2841">
        <v>1</v>
      </c>
      <c r="L12" s="2836">
        <v>0.4</v>
      </c>
      <c r="M12" s="2841">
        <v>0</v>
      </c>
      <c r="N12" s="2842">
        <f>((L12*M12)/K12)*100%</f>
        <v>0</v>
      </c>
      <c r="O12" s="3396"/>
      <c r="P12" s="2837">
        <v>1381953600</v>
      </c>
      <c r="Q12" s="2837">
        <v>1381953600</v>
      </c>
      <c r="R12" s="2837">
        <v>569981218</v>
      </c>
      <c r="S12" s="2838">
        <v>0</v>
      </c>
      <c r="T12" s="2839">
        <f t="shared" ref="T12:U15" si="0">+IF(Q12=0,0,R12/Q12)</f>
        <v>0.41244598805632837</v>
      </c>
      <c r="U12" s="2839">
        <f t="shared" si="0"/>
        <v>0</v>
      </c>
      <c r="V12" s="3398">
        <v>45344</v>
      </c>
      <c r="W12" s="3400">
        <v>45657</v>
      </c>
      <c r="X12" s="2843" t="s">
        <v>5390</v>
      </c>
      <c r="Y12" s="3393" t="s">
        <v>373</v>
      </c>
    </row>
    <row r="13" spans="1:25" ht="66">
      <c r="A13" s="2926"/>
      <c r="B13" s="3394"/>
      <c r="C13" s="2926"/>
      <c r="D13" s="3033"/>
      <c r="E13" s="2833" t="s">
        <v>374</v>
      </c>
      <c r="F13" s="2832"/>
      <c r="G13" s="2833"/>
      <c r="H13" s="2847"/>
      <c r="I13" s="2835" t="s">
        <v>5391</v>
      </c>
      <c r="J13" s="2835" t="s">
        <v>375</v>
      </c>
      <c r="K13" s="2841">
        <v>4080</v>
      </c>
      <c r="L13" s="2836">
        <v>0.3</v>
      </c>
      <c r="M13" s="2841">
        <v>1729</v>
      </c>
      <c r="N13" s="2842">
        <f>((L13*M13)/K13)*100%</f>
        <v>0.12713235294117645</v>
      </c>
      <c r="O13" s="3396"/>
      <c r="P13" s="2837">
        <v>3900542191</v>
      </c>
      <c r="Q13" s="2837">
        <v>3900542191</v>
      </c>
      <c r="R13" s="2837">
        <v>823146000</v>
      </c>
      <c r="S13" s="2838">
        <v>434315500</v>
      </c>
      <c r="T13" s="2839">
        <f t="shared" si="0"/>
        <v>0.21103373830933136</v>
      </c>
      <c r="U13" s="2839">
        <f t="shared" si="0"/>
        <v>0.52762875601655113</v>
      </c>
      <c r="V13" s="3398">
        <v>45316</v>
      </c>
      <c r="W13" s="3400">
        <v>45657</v>
      </c>
      <c r="X13" s="2844" t="s">
        <v>5392</v>
      </c>
      <c r="Y13" s="3394"/>
    </row>
    <row r="14" spans="1:25" ht="66">
      <c r="A14" s="2926"/>
      <c r="B14" s="3394"/>
      <c r="C14" s="2926"/>
      <c r="D14" s="3033"/>
      <c r="E14" s="2833" t="s">
        <v>376</v>
      </c>
      <c r="F14" s="2832"/>
      <c r="G14" s="2833"/>
      <c r="H14" s="2847"/>
      <c r="I14" s="2835" t="s">
        <v>5393</v>
      </c>
      <c r="J14" s="2835" t="s">
        <v>377</v>
      </c>
      <c r="K14" s="2841">
        <v>204</v>
      </c>
      <c r="L14" s="2836">
        <v>0.15</v>
      </c>
      <c r="M14" s="2841">
        <v>100</v>
      </c>
      <c r="N14" s="2842">
        <f>((L14*M14)/K14)*100%</f>
        <v>7.3529411764705885E-2</v>
      </c>
      <c r="O14" s="3396"/>
      <c r="P14" s="2837">
        <v>573928556</v>
      </c>
      <c r="Q14" s="2837">
        <v>573928556</v>
      </c>
      <c r="R14" s="2837">
        <v>35262000</v>
      </c>
      <c r="S14" s="2838">
        <v>26386000</v>
      </c>
      <c r="T14" s="2839">
        <f t="shared" si="0"/>
        <v>6.1439702958428856E-2</v>
      </c>
      <c r="U14" s="2839">
        <f t="shared" si="0"/>
        <v>0.74828427202087233</v>
      </c>
      <c r="V14" s="3398">
        <v>45316</v>
      </c>
      <c r="W14" s="3400">
        <v>45657</v>
      </c>
      <c r="X14" s="2844" t="s">
        <v>5394</v>
      </c>
      <c r="Y14" s="3394"/>
    </row>
    <row r="15" spans="1:25" ht="66">
      <c r="A15" s="2935"/>
      <c r="B15" s="3395"/>
      <c r="C15" s="2935"/>
      <c r="D15" s="3043"/>
      <c r="E15" s="605" t="s">
        <v>378</v>
      </c>
      <c r="F15" s="225"/>
      <c r="G15" s="2833"/>
      <c r="H15" s="2847"/>
      <c r="I15" s="254" t="s">
        <v>5395</v>
      </c>
      <c r="J15" s="254" t="s">
        <v>268</v>
      </c>
      <c r="K15" s="256">
        <v>2400</v>
      </c>
      <c r="L15" s="257">
        <v>0.15</v>
      </c>
      <c r="M15" s="256">
        <v>72</v>
      </c>
      <c r="N15" s="2861">
        <f>((L15*M15)/K15)*100%</f>
        <v>4.4999999999999997E-3</v>
      </c>
      <c r="O15" s="3397"/>
      <c r="P15" s="259">
        <v>496154400</v>
      </c>
      <c r="Q15" s="259">
        <v>496154400</v>
      </c>
      <c r="R15" s="259">
        <v>105000000</v>
      </c>
      <c r="S15" s="271">
        <v>43909000</v>
      </c>
      <c r="T15" s="260">
        <f t="shared" si="0"/>
        <v>0.21162767074120475</v>
      </c>
      <c r="U15" s="260">
        <f t="shared" si="0"/>
        <v>0.41818095238095238</v>
      </c>
      <c r="V15" s="3399">
        <v>45318</v>
      </c>
      <c r="W15" s="3401">
        <v>45657</v>
      </c>
      <c r="X15" s="2845" t="s">
        <v>5396</v>
      </c>
      <c r="Y15" s="3395"/>
    </row>
    <row r="16" spans="1:25">
      <c r="F16" s="3"/>
    </row>
    <row r="17" spans="2:21">
      <c r="B17" s="103" t="s">
        <v>50</v>
      </c>
      <c r="C17" s="103">
        <f>COUNTIF(C7:C15,"pr")</f>
        <v>1</v>
      </c>
      <c r="D17" s="50"/>
      <c r="E17" s="47" t="s">
        <v>126</v>
      </c>
      <c r="F17" s="47"/>
      <c r="G17" s="45">
        <f>COUNTIF(O7:O15,"na")</f>
        <v>0</v>
      </c>
      <c r="I17" s="47"/>
      <c r="J17" s="45"/>
      <c r="K17" s="46"/>
      <c r="L17" s="261"/>
      <c r="M17" s="49"/>
      <c r="N17" s="48" t="s">
        <v>127</v>
      </c>
      <c r="O17" s="208">
        <f>AVERAGE(O7:O15)</f>
        <v>0.20516176470588232</v>
      </c>
      <c r="P17" s="59">
        <f>P11</f>
        <v>6352578747</v>
      </c>
      <c r="Q17" s="59">
        <f>Q11</f>
        <v>6352578747</v>
      </c>
      <c r="R17" s="59">
        <f>R11</f>
        <v>1533389218</v>
      </c>
      <c r="S17" s="59">
        <f>S11</f>
        <v>504610500</v>
      </c>
      <c r="T17" s="209">
        <f>+IF(Q17=0,0,R17/Q17)</f>
        <v>0.24138059189335381</v>
      </c>
      <c r="U17" s="209">
        <f>+IF(R17=0,0,S17/R17)</f>
        <v>0.32908181046046719</v>
      </c>
    </row>
    <row r="18" spans="2:21">
      <c r="B18" s="103"/>
      <c r="C18" s="103"/>
      <c r="D18" s="50"/>
      <c r="E18" s="47"/>
      <c r="F18" s="47"/>
      <c r="G18" s="47"/>
      <c r="H18" s="47"/>
      <c r="I18" s="47"/>
      <c r="J18" s="45"/>
      <c r="K18" s="261"/>
      <c r="L18" s="262"/>
      <c r="M18" s="49"/>
      <c r="N18" s="104" t="s">
        <v>133</v>
      </c>
      <c r="O18" s="263">
        <f>COUNTIF(O7:O15,"=0%")</f>
        <v>0</v>
      </c>
      <c r="P18" s="59">
        <v>6352578747</v>
      </c>
      <c r="Q18" s="59">
        <v>6352578747</v>
      </c>
      <c r="R18" s="59">
        <v>1533389218</v>
      </c>
      <c r="S18" s="59">
        <v>504610500</v>
      </c>
      <c r="T18" s="264"/>
      <c r="U18" s="264"/>
    </row>
    <row r="19" spans="2:21">
      <c r="B19" s="46"/>
      <c r="C19" s="48"/>
      <c r="D19" s="46"/>
      <c r="E19" s="46"/>
      <c r="F19" s="46"/>
      <c r="G19" s="46"/>
      <c r="H19" s="46"/>
      <c r="I19" s="46"/>
      <c r="J19" s="48"/>
      <c r="K19" s="49"/>
      <c r="L19" s="49"/>
      <c r="M19" s="46"/>
      <c r="N19" s="49"/>
      <c r="O19" s="265"/>
      <c r="P19" s="266"/>
      <c r="Q19" s="266"/>
      <c r="R19" s="266"/>
      <c r="S19" s="266"/>
      <c r="T19" s="265"/>
      <c r="U19" s="265"/>
    </row>
    <row r="20" spans="2:21">
      <c r="B20" s="54"/>
      <c r="C20" s="106"/>
      <c r="D20" s="54"/>
      <c r="E20" s="54"/>
      <c r="F20" s="54"/>
      <c r="G20" s="54"/>
      <c r="H20" s="54"/>
      <c r="I20" s="54"/>
      <c r="J20" s="106"/>
      <c r="K20" s="107"/>
      <c r="L20" s="107"/>
      <c r="M20" s="54"/>
      <c r="N20" s="54"/>
      <c r="O20" s="54"/>
      <c r="P20" s="54"/>
      <c r="Q20" s="54"/>
      <c r="R20" s="54"/>
      <c r="S20" s="54"/>
      <c r="T20" s="54"/>
      <c r="U20" s="54"/>
    </row>
  </sheetData>
  <autoFilter ref="A5:Y6" xr:uid="{00000000-0009-0000-0000-00001C000000}"/>
  <mergeCells count="38">
    <mergeCell ref="A1:X1"/>
    <mergeCell ref="A2:Y2"/>
    <mergeCell ref="A3:B3"/>
    <mergeCell ref="C3:S3"/>
    <mergeCell ref="T3:U3"/>
    <mergeCell ref="V3:W3"/>
    <mergeCell ref="O5:O6"/>
    <mergeCell ref="A4:X4"/>
    <mergeCell ref="A5:A6"/>
    <mergeCell ref="B5:B6"/>
    <mergeCell ref="C5:C6"/>
    <mergeCell ref="D5:D6"/>
    <mergeCell ref="E5:E6"/>
    <mergeCell ref="F5:F6"/>
    <mergeCell ref="G5:G6"/>
    <mergeCell ref="H5:H6"/>
    <mergeCell ref="I5:I6"/>
    <mergeCell ref="J5:J6"/>
    <mergeCell ref="K5:K6"/>
    <mergeCell ref="L5:L6"/>
    <mergeCell ref="M5:M6"/>
    <mergeCell ref="N5:N6"/>
    <mergeCell ref="V5:V6"/>
    <mergeCell ref="W5:W6"/>
    <mergeCell ref="X5:X6"/>
    <mergeCell ref="Y5:Y6"/>
    <mergeCell ref="P5:P6"/>
    <mergeCell ref="Q5:Q6"/>
    <mergeCell ref="R5:R6"/>
    <mergeCell ref="S5:S6"/>
    <mergeCell ref="T5:T6"/>
    <mergeCell ref="U5:U6"/>
    <mergeCell ref="Y12:Y15"/>
    <mergeCell ref="O11:O15"/>
    <mergeCell ref="A11:A15"/>
    <mergeCell ref="B11:B15"/>
    <mergeCell ref="C11:C15"/>
    <mergeCell ref="D11:D1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4"/>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81</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872"/>
      <c r="B4" s="2873"/>
      <c r="C4" s="2873"/>
      <c r="D4" s="2873"/>
      <c r="E4" s="2873"/>
      <c r="F4" s="2873"/>
      <c r="G4" s="2873"/>
      <c r="H4" s="2873"/>
      <c r="I4" s="2873"/>
      <c r="J4" s="2873"/>
      <c r="K4" s="2873"/>
      <c r="L4" s="2873"/>
      <c r="M4" s="2873"/>
      <c r="N4" s="2873"/>
      <c r="O4" s="2873"/>
      <c r="P4" s="2873"/>
      <c r="Q4" s="2873"/>
      <c r="R4" s="2873"/>
      <c r="S4" s="2873"/>
      <c r="T4" s="2873"/>
      <c r="U4" s="2873"/>
      <c r="V4" s="2873"/>
      <c r="W4" s="2873"/>
      <c r="X4" s="2873"/>
      <c r="Y4" s="2874"/>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869"/>
      <c r="B6" s="2869"/>
      <c r="C6" s="2869"/>
      <c r="D6" s="2869"/>
      <c r="E6" s="2869"/>
      <c r="F6" s="2869"/>
      <c r="G6" s="2869"/>
      <c r="H6" s="2869"/>
      <c r="I6" s="2869"/>
      <c r="J6" s="2869"/>
      <c r="K6" s="2869"/>
      <c r="L6" s="2869"/>
      <c r="M6" s="2867"/>
      <c r="N6" s="2868"/>
      <c r="O6" s="2868"/>
      <c r="P6" s="2871"/>
      <c r="Q6" s="2868"/>
      <c r="R6" s="2868"/>
      <c r="S6" s="2868"/>
      <c r="T6" s="2868"/>
      <c r="U6" s="2868"/>
      <c r="V6" s="2871"/>
      <c r="W6" s="2871"/>
      <c r="X6" s="2868"/>
      <c r="Y6" s="2908"/>
    </row>
    <row r="7" spans="1:25" ht="15.6">
      <c r="A7" s="80"/>
      <c r="B7" s="81">
        <v>54</v>
      </c>
      <c r="C7" s="81" t="s">
        <v>114</v>
      </c>
      <c r="D7" s="125" t="s">
        <v>122</v>
      </c>
      <c r="E7" s="363"/>
      <c r="F7" s="80"/>
      <c r="G7" s="80"/>
      <c r="H7" s="80"/>
      <c r="I7" s="80"/>
      <c r="J7" s="80"/>
      <c r="K7" s="80"/>
      <c r="L7" s="80"/>
      <c r="M7" s="364"/>
      <c r="N7" s="365"/>
      <c r="O7" s="366"/>
      <c r="P7" s="83"/>
      <c r="Q7" s="367"/>
      <c r="R7" s="80"/>
      <c r="S7" s="80"/>
      <c r="T7" s="80"/>
      <c r="U7" s="80"/>
      <c r="V7" s="80"/>
      <c r="W7" s="80"/>
      <c r="X7" s="80"/>
      <c r="Y7" s="80"/>
    </row>
    <row r="8" spans="1:25" ht="15.6">
      <c r="A8" s="84"/>
      <c r="B8" s="85">
        <v>5402</v>
      </c>
      <c r="C8" s="85" t="s">
        <v>115</v>
      </c>
      <c r="D8" s="88" t="s">
        <v>118</v>
      </c>
      <c r="E8" s="368"/>
      <c r="F8" s="84"/>
      <c r="G8" s="84"/>
      <c r="H8" s="84"/>
      <c r="I8" s="84"/>
      <c r="J8" s="84"/>
      <c r="K8" s="84"/>
      <c r="L8" s="84"/>
      <c r="M8" s="84"/>
      <c r="N8" s="78"/>
      <c r="O8" s="105"/>
      <c r="P8" s="87"/>
      <c r="Q8" s="91"/>
      <c r="R8" s="89"/>
      <c r="S8" s="89"/>
      <c r="T8" s="89"/>
      <c r="U8" s="89"/>
      <c r="V8" s="89"/>
      <c r="W8" s="89"/>
      <c r="X8" s="89"/>
      <c r="Y8" s="84"/>
    </row>
    <row r="9" spans="1:25">
      <c r="A9" s="89"/>
      <c r="B9" s="97">
        <v>5402001</v>
      </c>
      <c r="C9" s="120" t="s">
        <v>116</v>
      </c>
      <c r="D9" s="96" t="s">
        <v>119</v>
      </c>
      <c r="E9" s="369"/>
      <c r="F9" s="89"/>
      <c r="G9" s="89"/>
      <c r="H9" s="89"/>
      <c r="I9" s="89"/>
      <c r="J9" s="89"/>
      <c r="K9" s="89"/>
      <c r="L9" s="89"/>
      <c r="M9" s="89"/>
      <c r="N9" s="78"/>
      <c r="O9" s="105"/>
      <c r="P9" s="98"/>
      <c r="Q9" s="91"/>
      <c r="R9" s="370"/>
      <c r="S9" s="89"/>
      <c r="T9" s="89"/>
      <c r="U9" s="89"/>
      <c r="V9" s="89"/>
      <c r="W9" s="89"/>
      <c r="X9" s="89"/>
      <c r="Y9" s="89"/>
    </row>
    <row r="10" spans="1:25">
      <c r="A10" s="91"/>
      <c r="B10" s="72">
        <v>54020010042</v>
      </c>
      <c r="C10" s="72" t="s">
        <v>117</v>
      </c>
      <c r="D10" s="73" t="s">
        <v>467</v>
      </c>
      <c r="E10" s="371"/>
      <c r="F10" s="372"/>
      <c r="G10" s="91"/>
      <c r="H10" s="373"/>
      <c r="I10" s="374"/>
      <c r="J10" s="374"/>
      <c r="K10" s="375"/>
      <c r="L10" s="375"/>
      <c r="M10" s="375"/>
      <c r="N10" s="376"/>
      <c r="O10" s="377"/>
      <c r="P10" s="378"/>
      <c r="Q10" s="379"/>
      <c r="R10" s="216"/>
      <c r="S10" s="216"/>
      <c r="T10" s="216"/>
      <c r="U10" s="216"/>
      <c r="V10" s="216"/>
      <c r="W10" s="216"/>
      <c r="X10" s="216"/>
      <c r="Y10" s="72"/>
    </row>
    <row r="11" spans="1:25">
      <c r="A11" s="2897">
        <v>4121</v>
      </c>
      <c r="B11" s="2897"/>
      <c r="C11" s="2897" t="s">
        <v>123</v>
      </c>
      <c r="D11" s="2900" t="s">
        <v>468</v>
      </c>
      <c r="E11" s="380" t="s">
        <v>469</v>
      </c>
      <c r="F11" s="74"/>
      <c r="G11" s="89"/>
      <c r="H11" s="381"/>
      <c r="I11" s="382"/>
      <c r="J11" s="382"/>
      <c r="K11" s="383">
        <v>1</v>
      </c>
      <c r="L11" s="384">
        <f>SUM(L12:L15)</f>
        <v>1</v>
      </c>
      <c r="M11" s="385"/>
      <c r="N11" s="385">
        <f>SUM(N12:N15)</f>
        <v>0.1613</v>
      </c>
      <c r="O11" s="377"/>
      <c r="P11" s="383">
        <f>+P12+P13+P14+P15</f>
        <v>1280030000</v>
      </c>
      <c r="Q11" s="383">
        <f>+Q12+Q13+Q14+Q15</f>
        <v>1280030000</v>
      </c>
      <c r="R11" s="383">
        <f>+R12+R13+R14+R15</f>
        <v>602359000</v>
      </c>
      <c r="S11" s="383">
        <f>+S12+S13+S14+S15</f>
        <v>361557000</v>
      </c>
      <c r="T11" s="252">
        <f t="shared" ref="T11:U15" si="0">IF(Q11=0,0,R11/Q11)</f>
        <v>0.4705819394857933</v>
      </c>
      <c r="U11" s="252">
        <f t="shared" si="0"/>
        <v>0.60023507576046842</v>
      </c>
      <c r="V11" s="216"/>
      <c r="W11" s="216"/>
      <c r="X11" s="386"/>
      <c r="Y11" s="2901" t="s">
        <v>470</v>
      </c>
    </row>
    <row r="12" spans="1:25" ht="105.6">
      <c r="A12" s="2898"/>
      <c r="B12" s="2898"/>
      <c r="C12" s="2898"/>
      <c r="D12" s="2898"/>
      <c r="E12" s="387" t="s">
        <v>471</v>
      </c>
      <c r="F12" s="74"/>
      <c r="G12" s="89"/>
      <c r="H12" s="388"/>
      <c r="I12" s="382" t="s">
        <v>472</v>
      </c>
      <c r="J12" s="382" t="s">
        <v>473</v>
      </c>
      <c r="K12" s="383">
        <v>3</v>
      </c>
      <c r="L12" s="384">
        <v>0.3</v>
      </c>
      <c r="M12" s="389">
        <v>1</v>
      </c>
      <c r="N12" s="384">
        <v>5.2499999999999998E-2</v>
      </c>
      <c r="O12" s="2906">
        <f>IF(Q11&gt;0,N11,"na")</f>
        <v>0.1613</v>
      </c>
      <c r="P12" s="383">
        <v>159966000</v>
      </c>
      <c r="Q12" s="383">
        <v>159966000</v>
      </c>
      <c r="R12" s="383">
        <v>70032000</v>
      </c>
      <c r="S12" s="383">
        <v>46784000</v>
      </c>
      <c r="T12" s="252">
        <f t="shared" si="0"/>
        <v>0.43779303101909156</v>
      </c>
      <c r="U12" s="252">
        <f t="shared" si="0"/>
        <v>0.66803746858578938</v>
      </c>
      <c r="V12" s="390">
        <v>45300</v>
      </c>
      <c r="W12" s="390">
        <v>45657</v>
      </c>
      <c r="X12" s="212" t="s">
        <v>497</v>
      </c>
      <c r="Y12" s="2898"/>
    </row>
    <row r="13" spans="1:25" ht="66">
      <c r="A13" s="2898"/>
      <c r="B13" s="2898"/>
      <c r="C13" s="2898"/>
      <c r="D13" s="2898"/>
      <c r="E13" s="387" t="s">
        <v>474</v>
      </c>
      <c r="F13" s="74"/>
      <c r="G13" s="95"/>
      <c r="H13" s="420"/>
      <c r="I13" s="391" t="s">
        <v>475</v>
      </c>
      <c r="J13" s="391" t="s">
        <v>120</v>
      </c>
      <c r="K13" s="392">
        <v>150</v>
      </c>
      <c r="L13" s="384">
        <v>0.1</v>
      </c>
      <c r="M13" s="389">
        <v>0</v>
      </c>
      <c r="N13" s="384">
        <v>0</v>
      </c>
      <c r="O13" s="2907"/>
      <c r="P13" s="383">
        <v>40000000</v>
      </c>
      <c r="Q13" s="383">
        <v>40000000</v>
      </c>
      <c r="R13" s="383">
        <v>0</v>
      </c>
      <c r="S13" s="383">
        <v>0</v>
      </c>
      <c r="T13" s="252">
        <f t="shared" si="0"/>
        <v>0</v>
      </c>
      <c r="U13" s="252">
        <f t="shared" si="0"/>
        <v>0</v>
      </c>
      <c r="V13" s="390"/>
      <c r="W13" s="390"/>
      <c r="X13" s="419" t="s">
        <v>476</v>
      </c>
      <c r="Y13" s="2898"/>
    </row>
    <row r="14" spans="1:25" ht="79.2">
      <c r="A14" s="2898"/>
      <c r="B14" s="2898"/>
      <c r="C14" s="2898"/>
      <c r="D14" s="2898"/>
      <c r="E14" s="387" t="s">
        <v>477</v>
      </c>
      <c r="F14" s="74"/>
      <c r="G14" s="95"/>
      <c r="H14" s="393"/>
      <c r="I14" s="391" t="s">
        <v>478</v>
      </c>
      <c r="J14" s="391" t="s">
        <v>121</v>
      </c>
      <c r="K14" s="392">
        <v>3</v>
      </c>
      <c r="L14" s="394">
        <v>0.15</v>
      </c>
      <c r="M14" s="389">
        <v>0</v>
      </c>
      <c r="N14" s="384">
        <v>0.03</v>
      </c>
      <c r="O14" s="2907"/>
      <c r="P14" s="383">
        <v>138606000</v>
      </c>
      <c r="Q14" s="383">
        <v>138606000</v>
      </c>
      <c r="R14" s="383">
        <v>77352000</v>
      </c>
      <c r="S14" s="383">
        <v>53576000</v>
      </c>
      <c r="T14" s="252">
        <f t="shared" si="0"/>
        <v>0.55807107917406173</v>
      </c>
      <c r="U14" s="252">
        <f t="shared" si="0"/>
        <v>0.69262591788189054</v>
      </c>
      <c r="V14" s="390">
        <v>45300</v>
      </c>
      <c r="W14" s="390">
        <v>45657</v>
      </c>
      <c r="X14" s="212" t="s">
        <v>479</v>
      </c>
      <c r="Y14" s="2898"/>
    </row>
    <row r="15" spans="1:25" ht="184.8">
      <c r="A15" s="2905"/>
      <c r="B15" s="2905"/>
      <c r="C15" s="2905"/>
      <c r="D15" s="2905"/>
      <c r="E15" s="395" t="s">
        <v>480</v>
      </c>
      <c r="F15" s="102"/>
      <c r="G15" s="95" t="s">
        <v>481</v>
      </c>
      <c r="H15" s="396"/>
      <c r="I15" s="382" t="s">
        <v>482</v>
      </c>
      <c r="J15" s="382" t="s">
        <v>124</v>
      </c>
      <c r="K15" s="383">
        <v>1</v>
      </c>
      <c r="L15" s="394">
        <v>0.45</v>
      </c>
      <c r="M15" s="389">
        <v>0</v>
      </c>
      <c r="N15" s="384">
        <v>7.8799999999999995E-2</v>
      </c>
      <c r="O15" s="2907"/>
      <c r="P15" s="397">
        <v>941458000</v>
      </c>
      <c r="Q15" s="397">
        <v>941458000</v>
      </c>
      <c r="R15" s="383">
        <v>454975000</v>
      </c>
      <c r="S15" s="383">
        <v>261197000</v>
      </c>
      <c r="T15" s="252">
        <f t="shared" si="0"/>
        <v>0.48326638044394971</v>
      </c>
      <c r="U15" s="252">
        <f>IF(R15=0,0,S15/R15)</f>
        <v>0.57409088411451181</v>
      </c>
      <c r="V15" s="390">
        <v>45300</v>
      </c>
      <c r="W15" s="390">
        <v>45657</v>
      </c>
      <c r="X15" s="212" t="s">
        <v>498</v>
      </c>
      <c r="Y15" s="2905"/>
    </row>
    <row r="16" spans="1:25">
      <c r="A16" s="89"/>
      <c r="B16" s="97">
        <v>5402003</v>
      </c>
      <c r="C16" s="120" t="s">
        <v>116</v>
      </c>
      <c r="D16" s="96" t="s">
        <v>483</v>
      </c>
      <c r="E16" s="369"/>
      <c r="F16" s="89"/>
      <c r="G16" s="89"/>
      <c r="H16" s="398"/>
      <c r="I16" s="399"/>
      <c r="J16" s="399"/>
      <c r="K16" s="399"/>
      <c r="L16" s="399"/>
      <c r="M16" s="399"/>
      <c r="N16" s="216"/>
      <c r="O16" s="216"/>
      <c r="P16" s="400"/>
      <c r="Q16" s="216"/>
      <c r="R16" s="216"/>
      <c r="S16" s="216"/>
      <c r="T16" s="216"/>
      <c r="U16" s="216"/>
      <c r="V16" s="216"/>
      <c r="W16" s="216"/>
      <c r="X16" s="216"/>
      <c r="Y16" s="89"/>
    </row>
    <row r="17" spans="1:25">
      <c r="A17" s="91"/>
      <c r="B17" s="72">
        <v>54020030008</v>
      </c>
      <c r="C17" s="72" t="s">
        <v>117</v>
      </c>
      <c r="D17" s="73" t="s">
        <v>484</v>
      </c>
      <c r="E17" s="371"/>
      <c r="F17" s="101"/>
      <c r="G17" s="91"/>
      <c r="H17" s="401"/>
      <c r="I17" s="374"/>
      <c r="J17" s="374"/>
      <c r="K17" s="375"/>
      <c r="L17" s="375"/>
      <c r="M17" s="375"/>
      <c r="N17" s="216"/>
      <c r="O17" s="216"/>
      <c r="P17" s="378"/>
      <c r="Q17" s="216"/>
      <c r="R17" s="216"/>
      <c r="S17" s="216"/>
      <c r="T17" s="216"/>
      <c r="U17" s="216"/>
      <c r="V17" s="216"/>
      <c r="W17" s="216"/>
      <c r="X17" s="216"/>
      <c r="Y17" s="72"/>
    </row>
    <row r="18" spans="1:25">
      <c r="A18" s="2897">
        <v>4121</v>
      </c>
      <c r="B18" s="2897"/>
      <c r="C18" s="2897" t="s">
        <v>123</v>
      </c>
      <c r="D18" s="2900" t="s">
        <v>485</v>
      </c>
      <c r="E18" s="402" t="s">
        <v>486</v>
      </c>
      <c r="F18" s="74"/>
      <c r="G18" s="89"/>
      <c r="H18" s="403"/>
      <c r="I18" s="382"/>
      <c r="J18" s="382"/>
      <c r="K18" s="383">
        <v>1</v>
      </c>
      <c r="L18" s="384">
        <f>SUM(L19:L21)</f>
        <v>1</v>
      </c>
      <c r="M18" s="384"/>
      <c r="N18" s="384">
        <f>SUM(N19:N21)</f>
        <v>4.5100000000000001E-2</v>
      </c>
      <c r="O18" s="216"/>
      <c r="P18" s="383">
        <f>+P19+P20+P21</f>
        <v>219970000</v>
      </c>
      <c r="Q18" s="383">
        <f>+Q19+Q20+Q21</f>
        <v>219970000</v>
      </c>
      <c r="R18" s="383">
        <f>+R19+R20+R21</f>
        <v>64209000</v>
      </c>
      <c r="S18" s="383">
        <f>+S19+S20+S21</f>
        <v>46029000</v>
      </c>
      <c r="T18" s="252">
        <f t="shared" ref="T18:U21" si="1">IF(Q18=0,0,R18/Q18)</f>
        <v>0.29189889530390506</v>
      </c>
      <c r="U18" s="252">
        <f t="shared" si="1"/>
        <v>0.71686212213241129</v>
      </c>
      <c r="V18" s="216"/>
      <c r="W18" s="216"/>
      <c r="X18" s="216"/>
      <c r="Y18" s="2901" t="s">
        <v>487</v>
      </c>
    </row>
    <row r="19" spans="1:25" ht="105.6">
      <c r="A19" s="2898"/>
      <c r="B19" s="2898"/>
      <c r="C19" s="2898"/>
      <c r="D19" s="2898"/>
      <c r="E19" s="395" t="s">
        <v>488</v>
      </c>
      <c r="F19" s="74"/>
      <c r="G19" s="89"/>
      <c r="H19" s="404"/>
      <c r="I19" s="382" t="s">
        <v>489</v>
      </c>
      <c r="J19" s="382" t="s">
        <v>490</v>
      </c>
      <c r="K19" s="383">
        <v>1</v>
      </c>
      <c r="L19" s="384">
        <v>0.4</v>
      </c>
      <c r="M19" s="389">
        <v>0</v>
      </c>
      <c r="N19" s="405">
        <v>4.5100000000000001E-2</v>
      </c>
      <c r="O19" s="2902">
        <f>IF(Q18&gt;0,N18,"na")</f>
        <v>4.5100000000000001E-2</v>
      </c>
      <c r="P19" s="383">
        <v>90970000</v>
      </c>
      <c r="Q19" s="383">
        <v>90970000</v>
      </c>
      <c r="R19" s="383">
        <v>64209000</v>
      </c>
      <c r="S19" s="383">
        <v>46029000</v>
      </c>
      <c r="T19" s="252">
        <f t="shared" si="1"/>
        <v>0.70582609651533468</v>
      </c>
      <c r="U19" s="252">
        <f t="shared" si="1"/>
        <v>0.71686212213241129</v>
      </c>
      <c r="V19" s="390">
        <v>45300</v>
      </c>
      <c r="W19" s="390">
        <v>45657</v>
      </c>
      <c r="X19" s="419" t="s">
        <v>491</v>
      </c>
      <c r="Y19" s="2898"/>
    </row>
    <row r="20" spans="1:25" ht="26.4">
      <c r="A20" s="2898"/>
      <c r="B20" s="2898"/>
      <c r="C20" s="2898"/>
      <c r="D20" s="2898"/>
      <c r="E20" s="395" t="s">
        <v>492</v>
      </c>
      <c r="F20" s="74"/>
      <c r="G20" s="89"/>
      <c r="H20" s="403"/>
      <c r="I20" s="382" t="s">
        <v>493</v>
      </c>
      <c r="J20" s="382" t="s">
        <v>125</v>
      </c>
      <c r="K20" s="383">
        <v>2</v>
      </c>
      <c r="L20" s="384">
        <v>0</v>
      </c>
      <c r="M20" s="383">
        <v>0</v>
      </c>
      <c r="N20" s="405">
        <v>0</v>
      </c>
      <c r="O20" s="2903"/>
      <c r="P20" s="383">
        <v>35000000</v>
      </c>
      <c r="Q20" s="383">
        <v>35000000</v>
      </c>
      <c r="R20" s="383">
        <v>0</v>
      </c>
      <c r="S20" s="383">
        <v>0</v>
      </c>
      <c r="T20" s="252">
        <f>IF(Q20=0,0,R20/Q20)</f>
        <v>0</v>
      </c>
      <c r="U20" s="252">
        <f>IF(R20=0,0,S20/R20)</f>
        <v>0</v>
      </c>
      <c r="V20" s="390"/>
      <c r="W20" s="390"/>
      <c r="X20" s="419"/>
      <c r="Y20" s="2898"/>
    </row>
    <row r="21" spans="1:25" ht="66">
      <c r="A21" s="2899"/>
      <c r="B21" s="2899"/>
      <c r="C21" s="2899"/>
      <c r="D21" s="2899"/>
      <c r="E21" s="424" t="s">
        <v>494</v>
      </c>
      <c r="F21" s="406"/>
      <c r="G21" s="121" t="s">
        <v>495</v>
      </c>
      <c r="H21" s="407"/>
      <c r="I21" s="408" t="s">
        <v>496</v>
      </c>
      <c r="J21" s="408" t="s">
        <v>132</v>
      </c>
      <c r="K21" s="409">
        <v>1</v>
      </c>
      <c r="L21" s="410">
        <v>0.6</v>
      </c>
      <c r="M21" s="409">
        <v>0</v>
      </c>
      <c r="N21" s="411">
        <v>0</v>
      </c>
      <c r="O21" s="2904"/>
      <c r="P21" s="409">
        <v>94000000</v>
      </c>
      <c r="Q21" s="409">
        <v>94000000</v>
      </c>
      <c r="R21" s="409">
        <v>0</v>
      </c>
      <c r="S21" s="409">
        <v>0</v>
      </c>
      <c r="T21" s="412">
        <f t="shared" si="1"/>
        <v>0</v>
      </c>
      <c r="U21" s="412">
        <f t="shared" si="1"/>
        <v>0</v>
      </c>
      <c r="V21" s="425"/>
      <c r="W21" s="425"/>
      <c r="X21" s="421"/>
      <c r="Y21" s="2899"/>
    </row>
    <row r="22" spans="1:25">
      <c r="A22" s="413"/>
      <c r="B22" s="413"/>
      <c r="C22" s="413"/>
      <c r="D22" s="413"/>
      <c r="E22" s="414"/>
      <c r="F22" s="426"/>
      <c r="G22" s="422"/>
      <c r="H22" s="423"/>
      <c r="I22" s="427"/>
      <c r="J22" s="427"/>
      <c r="K22" s="428"/>
      <c r="L22" s="429"/>
      <c r="M22" s="428"/>
      <c r="N22" s="430"/>
      <c r="O22" s="431"/>
      <c r="P22" s="418"/>
      <c r="Q22" s="418"/>
      <c r="R22" s="418"/>
      <c r="S22" s="418"/>
      <c r="T22" s="418"/>
      <c r="U22" s="418"/>
      <c r="V22" s="432"/>
      <c r="W22" s="432"/>
      <c r="X22" s="433"/>
      <c r="Y22" s="415"/>
    </row>
    <row r="23" spans="1:25">
      <c r="A23" s="413"/>
      <c r="B23" s="416" t="s">
        <v>50</v>
      </c>
      <c r="C23" s="45">
        <f>COUNTIF(C11:C18,"pr")</f>
        <v>2</v>
      </c>
      <c r="D23" s="416"/>
      <c r="E23" s="417" t="s">
        <v>126</v>
      </c>
      <c r="F23" s="47"/>
      <c r="G23" s="45">
        <f>COUNTIF(M11:M21,"na")</f>
        <v>0</v>
      </c>
      <c r="H23" s="47"/>
      <c r="I23" s="47"/>
      <c r="J23" s="45"/>
      <c r="K23" s="47"/>
      <c r="L23" s="46"/>
      <c r="M23" s="47"/>
      <c r="N23" s="45" t="s">
        <v>127</v>
      </c>
      <c r="O23" s="434">
        <f>AVERAGE(O12:O19)</f>
        <v>0.1032</v>
      </c>
      <c r="P23" s="428">
        <f>+P11+P18</f>
        <v>1500000000</v>
      </c>
      <c r="Q23" s="428">
        <f>+Q11+Q18</f>
        <v>1500000000</v>
      </c>
      <c r="R23" s="428">
        <f>+R11+R18</f>
        <v>666568000</v>
      </c>
      <c r="S23" s="428">
        <f>+S11+S18</f>
        <v>407586000</v>
      </c>
      <c r="T23" s="418">
        <f>IF(Q23=0,0,R23/Q23)</f>
        <v>0.44437866666666664</v>
      </c>
      <c r="U23" s="418">
        <f>IF(R23=0,0,S23/R23)</f>
        <v>0.61146949748562784</v>
      </c>
      <c r="V23" s="27"/>
      <c r="W23" s="27"/>
      <c r="X23" s="27"/>
      <c r="Y23" s="415"/>
    </row>
    <row r="24" spans="1:25">
      <c r="A24" s="413"/>
      <c r="B24" s="416"/>
      <c r="C24" s="45"/>
      <c r="D24" s="416"/>
      <c r="E24" s="417"/>
      <c r="F24" s="47"/>
      <c r="G24" s="45"/>
      <c r="H24" s="47"/>
      <c r="I24" s="47"/>
      <c r="J24" s="45"/>
      <c r="K24" s="47"/>
      <c r="L24" s="46"/>
      <c r="M24" s="47"/>
      <c r="N24" s="261" t="s">
        <v>133</v>
      </c>
      <c r="O24" s="2">
        <f>COUNTIF(O12:O19,"=0%")</f>
        <v>0</v>
      </c>
      <c r="P24" s="428">
        <v>1500000000</v>
      </c>
      <c r="Q24" s="428">
        <v>1500000000</v>
      </c>
      <c r="R24" s="428">
        <v>666568000</v>
      </c>
      <c r="S24" s="428">
        <v>407586000</v>
      </c>
      <c r="T24" s="418"/>
      <c r="U24" s="418"/>
      <c r="V24" s="27"/>
      <c r="W24" s="27"/>
      <c r="X24" s="27"/>
      <c r="Y24" s="415"/>
    </row>
  </sheetData>
  <mergeCells count="44">
    <mergeCell ref="J5:J6"/>
    <mergeCell ref="A2:Y2"/>
    <mergeCell ref="A3:B3"/>
    <mergeCell ref="C3:R3"/>
    <mergeCell ref="S3:U3"/>
    <mergeCell ref="V3:W3"/>
    <mergeCell ref="H5:H6"/>
    <mergeCell ref="O5:O6"/>
    <mergeCell ref="P5:P6"/>
    <mergeCell ref="M5:M6"/>
    <mergeCell ref="Q5:Q6"/>
    <mergeCell ref="R5:R6"/>
    <mergeCell ref="K5:K6"/>
    <mergeCell ref="L5:L6"/>
    <mergeCell ref="N5:N6"/>
    <mergeCell ref="G5:G6"/>
    <mergeCell ref="A1:X1"/>
    <mergeCell ref="A4:Y4"/>
    <mergeCell ref="A5:A6"/>
    <mergeCell ref="B5:B6"/>
    <mergeCell ref="C5:C6"/>
    <mergeCell ref="S5:S6"/>
    <mergeCell ref="T5:T6"/>
    <mergeCell ref="W5:W6"/>
    <mergeCell ref="X5:X6"/>
    <mergeCell ref="D5:D6"/>
    <mergeCell ref="E5:E6"/>
    <mergeCell ref="F5:F6"/>
    <mergeCell ref="I5:I6"/>
    <mergeCell ref="U5:U6"/>
    <mergeCell ref="V5:V6"/>
    <mergeCell ref="Y5:Y6"/>
    <mergeCell ref="A11:A15"/>
    <mergeCell ref="B11:B15"/>
    <mergeCell ref="C11:C15"/>
    <mergeCell ref="D11:D15"/>
    <mergeCell ref="Y11:Y15"/>
    <mergeCell ref="O12:O15"/>
    <mergeCell ref="A18:A21"/>
    <mergeCell ref="B18:B21"/>
    <mergeCell ref="C18:C21"/>
    <mergeCell ref="D18:D21"/>
    <mergeCell ref="Y18:Y21"/>
    <mergeCell ref="O19:O21"/>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66</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869"/>
      <c r="B6" s="2869"/>
      <c r="C6" s="2869"/>
      <c r="D6" s="2869"/>
      <c r="E6" s="2869"/>
      <c r="F6" s="2869"/>
      <c r="G6" s="2869"/>
      <c r="H6" s="2869"/>
      <c r="I6" s="2869"/>
      <c r="J6" s="2869"/>
      <c r="K6" s="2869"/>
      <c r="L6" s="2869"/>
      <c r="M6" s="2867"/>
      <c r="N6" s="2868"/>
      <c r="O6" s="2868"/>
      <c r="P6" s="2871"/>
      <c r="Q6" s="2868"/>
      <c r="R6" s="2868"/>
      <c r="S6" s="2868"/>
      <c r="T6" s="2868"/>
      <c r="U6" s="2868"/>
      <c r="V6" s="2871"/>
      <c r="W6" s="2871"/>
      <c r="X6" s="2868"/>
      <c r="Y6" s="2867"/>
    </row>
    <row r="7" spans="1:25" ht="15.6">
      <c r="A7" s="161"/>
      <c r="B7" s="81">
        <v>54</v>
      </c>
      <c r="C7" s="81" t="s">
        <v>114</v>
      </c>
      <c r="D7" s="125" t="s">
        <v>122</v>
      </c>
      <c r="E7" s="82"/>
      <c r="F7" s="80"/>
      <c r="G7" s="80"/>
      <c r="H7" s="80"/>
      <c r="I7" s="80"/>
      <c r="J7" s="80"/>
      <c r="K7" s="80"/>
      <c r="L7" s="80"/>
      <c r="M7" s="83"/>
      <c r="N7" s="82"/>
      <c r="O7" s="82"/>
      <c r="P7" s="80"/>
      <c r="Q7" s="80"/>
      <c r="R7" s="80"/>
      <c r="S7" s="80"/>
      <c r="T7" s="80"/>
      <c r="U7" s="80"/>
      <c r="V7" s="80"/>
      <c r="W7" s="80"/>
      <c r="X7" s="80"/>
      <c r="Y7" s="80"/>
    </row>
    <row r="8" spans="1:25" ht="15.6">
      <c r="A8" s="84"/>
      <c r="B8" s="119">
        <v>5402</v>
      </c>
      <c r="C8" s="119" t="s">
        <v>140</v>
      </c>
      <c r="D8" s="88" t="s">
        <v>118</v>
      </c>
      <c r="E8" s="86"/>
      <c r="F8" s="84"/>
      <c r="G8" s="84"/>
      <c r="H8" s="84"/>
      <c r="I8" s="84"/>
      <c r="J8" s="84"/>
      <c r="K8" s="84"/>
      <c r="L8" s="84"/>
      <c r="M8" s="87"/>
      <c r="N8" s="86"/>
      <c r="O8" s="86"/>
      <c r="P8" s="84"/>
      <c r="Q8" s="84"/>
      <c r="R8" s="84"/>
      <c r="S8" s="84"/>
      <c r="T8" s="84"/>
      <c r="U8" s="84"/>
      <c r="V8" s="84"/>
      <c r="W8" s="84"/>
      <c r="X8" s="84"/>
      <c r="Y8" s="84"/>
    </row>
    <row r="9" spans="1:25">
      <c r="A9" s="146"/>
      <c r="B9" s="120">
        <v>5402001</v>
      </c>
      <c r="C9" s="120" t="s">
        <v>116</v>
      </c>
      <c r="D9" s="96" t="s">
        <v>119</v>
      </c>
      <c r="E9" s="90"/>
      <c r="F9" s="90"/>
      <c r="G9" s="90"/>
      <c r="H9" s="90"/>
      <c r="I9" s="96"/>
      <c r="J9" s="96"/>
      <c r="K9" s="146"/>
      <c r="L9" s="146"/>
      <c r="M9" s="98"/>
      <c r="N9" s="200"/>
      <c r="O9" s="200"/>
      <c r="P9" s="96"/>
      <c r="Q9" s="89"/>
      <c r="R9" s="89"/>
      <c r="S9" s="89"/>
      <c r="T9" s="89"/>
      <c r="U9" s="89"/>
      <c r="V9" s="89"/>
      <c r="W9" s="89"/>
      <c r="X9" s="89"/>
      <c r="Y9" s="89"/>
    </row>
    <row r="10" spans="1:25" ht="27.6">
      <c r="A10" s="116"/>
      <c r="B10" s="117">
        <v>54020010010</v>
      </c>
      <c r="C10" s="117" t="s">
        <v>117</v>
      </c>
      <c r="D10" s="73" t="s">
        <v>141</v>
      </c>
      <c r="E10" s="105"/>
      <c r="F10" s="116"/>
      <c r="G10" s="105"/>
      <c r="H10" s="116"/>
      <c r="I10" s="73"/>
      <c r="J10" s="73"/>
      <c r="K10" s="116"/>
      <c r="L10" s="116"/>
      <c r="M10" s="78"/>
      <c r="N10" s="166"/>
      <c r="O10" s="166"/>
      <c r="P10" s="73"/>
      <c r="Q10" s="91"/>
      <c r="R10" s="91"/>
      <c r="S10" s="91"/>
      <c r="T10" s="91"/>
      <c r="U10" s="91"/>
      <c r="V10" s="91"/>
      <c r="W10" s="91"/>
      <c r="X10" s="91"/>
      <c r="Y10" s="91"/>
    </row>
    <row r="11" spans="1:25" ht="13.8" customHeight="1">
      <c r="A11" s="2911">
        <v>4123</v>
      </c>
      <c r="B11" s="2913"/>
      <c r="C11" s="2915" t="s">
        <v>123</v>
      </c>
      <c r="D11" s="2917" t="s">
        <v>321</v>
      </c>
      <c r="E11" s="201" t="s">
        <v>322</v>
      </c>
      <c r="F11" s="167"/>
      <c r="G11" s="167"/>
      <c r="H11" s="168"/>
      <c r="I11" s="167"/>
      <c r="J11" s="167"/>
      <c r="K11" s="169">
        <v>400</v>
      </c>
      <c r="L11" s="170">
        <f>L12+L13</f>
        <v>1</v>
      </c>
      <c r="M11" s="171"/>
      <c r="N11" s="172">
        <f>N12+N13</f>
        <v>0.23</v>
      </c>
      <c r="O11" s="2919">
        <f>IF(Q11&gt;0, N11,"na")</f>
        <v>0.23</v>
      </c>
      <c r="P11" s="173">
        <f>P12+P13</f>
        <v>500000000</v>
      </c>
      <c r="Q11" s="173">
        <f>Q12+Q13</f>
        <v>500000000</v>
      </c>
      <c r="R11" s="173">
        <f>R12+R13</f>
        <v>51796000</v>
      </c>
      <c r="S11" s="174">
        <f>S12+S13</f>
        <v>35567000</v>
      </c>
      <c r="T11" s="175">
        <f>+IF(Q11=0,0,R11/Q11)</f>
        <v>0.103592</v>
      </c>
      <c r="U11" s="176">
        <f>IF(R11=0,0,S11/R11)</f>
        <v>0.6866746466908642</v>
      </c>
      <c r="V11" s="177"/>
      <c r="W11" s="177"/>
      <c r="X11" s="177"/>
      <c r="Y11" s="177"/>
    </row>
    <row r="12" spans="1:25" ht="158.4">
      <c r="A12" s="2911"/>
      <c r="B12" s="2913"/>
      <c r="C12" s="2915"/>
      <c r="D12" s="2917"/>
      <c r="E12" s="201" t="s">
        <v>359</v>
      </c>
      <c r="F12" s="178"/>
      <c r="G12" s="179" t="s">
        <v>142</v>
      </c>
      <c r="H12" s="180"/>
      <c r="I12" s="181" t="s">
        <v>143</v>
      </c>
      <c r="J12" s="181" t="s">
        <v>144</v>
      </c>
      <c r="K12" s="169">
        <v>400</v>
      </c>
      <c r="L12" s="182">
        <v>0.5</v>
      </c>
      <c r="M12" s="171">
        <v>0</v>
      </c>
      <c r="N12" s="183">
        <v>0.16</v>
      </c>
      <c r="O12" s="2919"/>
      <c r="P12" s="171">
        <v>193636000</v>
      </c>
      <c r="Q12" s="171">
        <v>193636000</v>
      </c>
      <c r="R12" s="171">
        <v>30872000</v>
      </c>
      <c r="S12" s="173">
        <v>19874000</v>
      </c>
      <c r="T12" s="175">
        <f>+IF(Q12=0,0,R12/Q12)</f>
        <v>0.15943316325476667</v>
      </c>
      <c r="U12" s="176">
        <f>IF(R12=0,0,S12/R12)</f>
        <v>0.64375485877170247</v>
      </c>
      <c r="V12" s="184">
        <v>45306</v>
      </c>
      <c r="W12" s="184">
        <v>45657</v>
      </c>
      <c r="X12" s="185" t="s">
        <v>562</v>
      </c>
      <c r="Y12" s="2909" t="s">
        <v>145</v>
      </c>
    </row>
    <row r="13" spans="1:25" ht="130.5" customHeight="1">
      <c r="A13" s="2912"/>
      <c r="B13" s="2914"/>
      <c r="C13" s="2916"/>
      <c r="D13" s="2918"/>
      <c r="E13" s="202" t="s">
        <v>360</v>
      </c>
      <c r="F13" s="186"/>
      <c r="G13" s="187"/>
      <c r="H13" s="188"/>
      <c r="I13" s="189" t="s">
        <v>563</v>
      </c>
      <c r="J13" s="190" t="s">
        <v>146</v>
      </c>
      <c r="K13" s="191">
        <v>6</v>
      </c>
      <c r="L13" s="192">
        <v>0.5</v>
      </c>
      <c r="M13" s="193">
        <v>0</v>
      </c>
      <c r="N13" s="194">
        <v>7.0000000000000007E-2</v>
      </c>
      <c r="O13" s="2920"/>
      <c r="P13" s="195">
        <v>306364000</v>
      </c>
      <c r="Q13" s="195">
        <v>306364000</v>
      </c>
      <c r="R13" s="193">
        <v>20924000</v>
      </c>
      <c r="S13" s="195">
        <v>15693000</v>
      </c>
      <c r="T13" s="196">
        <f>+IF(Q13=0,0,R13/Q13)</f>
        <v>6.8297841782977112E-2</v>
      </c>
      <c r="U13" s="197">
        <f>IF(R13=0,0,S13/R13)</f>
        <v>0.75</v>
      </c>
      <c r="V13" s="198">
        <v>45311</v>
      </c>
      <c r="W13" s="528">
        <v>45657</v>
      </c>
      <c r="X13" s="199" t="s">
        <v>564</v>
      </c>
      <c r="Y13" s="2910"/>
    </row>
    <row r="14" spans="1:25">
      <c r="A14" s="109"/>
      <c r="B14" s="130"/>
      <c r="C14" s="130"/>
      <c r="D14" s="131"/>
      <c r="E14" s="108"/>
      <c r="F14" s="109"/>
      <c r="G14" s="109"/>
      <c r="H14" s="109"/>
      <c r="I14" s="126"/>
      <c r="J14" s="126"/>
      <c r="K14" s="109"/>
      <c r="L14" s="132"/>
      <c r="M14" s="133"/>
      <c r="N14" s="134"/>
      <c r="O14" s="106"/>
      <c r="P14" s="135"/>
      <c r="Q14" s="122"/>
      <c r="R14" s="122"/>
      <c r="S14" s="122"/>
      <c r="T14" s="128"/>
      <c r="U14" s="127"/>
      <c r="V14" s="129"/>
      <c r="W14" s="136"/>
      <c r="X14" s="109"/>
      <c r="Y14" s="110"/>
    </row>
    <row r="15" spans="1:25">
      <c r="A15" s="113"/>
      <c r="B15" s="52" t="s">
        <v>50</v>
      </c>
      <c r="C15" s="53">
        <f>COUNTIF(C7:C13,"pr")</f>
        <v>1</v>
      </c>
      <c r="D15" s="52"/>
      <c r="E15" s="52" t="s">
        <v>126</v>
      </c>
      <c r="F15" s="52"/>
      <c r="G15" s="53">
        <f>COUNTIF(O11,"na")</f>
        <v>0</v>
      </c>
      <c r="H15" s="52"/>
      <c r="I15" s="52"/>
      <c r="J15" s="53"/>
      <c r="K15" s="52"/>
      <c r="L15" s="52"/>
      <c r="M15" s="52"/>
      <c r="N15" s="53" t="s">
        <v>127</v>
      </c>
      <c r="O15" s="123">
        <f>AVERAGE(O11)</f>
        <v>0.23</v>
      </c>
      <c r="P15" s="137">
        <f>P11</f>
        <v>500000000</v>
      </c>
      <c r="Q15" s="137">
        <f>Q11</f>
        <v>500000000</v>
      </c>
      <c r="R15" s="137">
        <f>R11</f>
        <v>51796000</v>
      </c>
      <c r="S15" s="137">
        <f>S11</f>
        <v>35567000</v>
      </c>
      <c r="T15" s="124">
        <f>IF(Q15=0,0,R15/Q15)</f>
        <v>0.103592</v>
      </c>
      <c r="U15" s="124">
        <f>IF(R15=0,0,S15/R15)</f>
        <v>0.6866746466908642</v>
      </c>
      <c r="V15" s="52"/>
      <c r="W15" s="52"/>
      <c r="X15" s="52"/>
      <c r="Y15" s="52"/>
    </row>
    <row r="16" spans="1:25">
      <c r="A16" s="53"/>
      <c r="B16" s="52"/>
      <c r="C16" s="53"/>
      <c r="D16" s="52"/>
      <c r="E16" s="52"/>
      <c r="F16" s="52"/>
      <c r="G16" s="52"/>
      <c r="H16" s="52"/>
      <c r="I16" s="52"/>
      <c r="J16" s="53"/>
      <c r="K16" s="111"/>
      <c r="L16" s="111"/>
      <c r="M16" s="111"/>
      <c r="N16" s="112" t="s">
        <v>133</v>
      </c>
      <c r="O16" s="61">
        <f>COUNTIF(O11:O13,"=0%")</f>
        <v>0</v>
      </c>
      <c r="P16" s="137">
        <v>500000000</v>
      </c>
      <c r="Q16" s="137">
        <v>500000000</v>
      </c>
      <c r="R16" s="137">
        <v>51796000</v>
      </c>
      <c r="S16" s="137">
        <v>35567000</v>
      </c>
      <c r="T16" s="52"/>
      <c r="U16" s="52"/>
      <c r="V16" s="52"/>
      <c r="W16" s="52"/>
      <c r="X16" s="52"/>
      <c r="Y16" s="57"/>
    </row>
  </sheetData>
  <mergeCells count="38">
    <mergeCell ref="A2:Y2"/>
    <mergeCell ref="A3:B3"/>
    <mergeCell ref="C3:R3"/>
    <mergeCell ref="S3:U3"/>
    <mergeCell ref="V3:W3"/>
    <mergeCell ref="F5:F6"/>
    <mergeCell ref="R5:R6"/>
    <mergeCell ref="M5:M6"/>
    <mergeCell ref="G5:G6"/>
    <mergeCell ref="H5:H6"/>
    <mergeCell ref="I5:I6"/>
    <mergeCell ref="J5:J6"/>
    <mergeCell ref="K5:K6"/>
    <mergeCell ref="L5:L6"/>
    <mergeCell ref="N5:N6"/>
    <mergeCell ref="O5:O6"/>
    <mergeCell ref="A1:X1"/>
    <mergeCell ref="Y5:Y6"/>
    <mergeCell ref="S5:S6"/>
    <mergeCell ref="T5:T6"/>
    <mergeCell ref="U5:U6"/>
    <mergeCell ref="V5:V6"/>
    <mergeCell ref="W5:W6"/>
    <mergeCell ref="X5:X6"/>
    <mergeCell ref="P5:P6"/>
    <mergeCell ref="Q5:Q6"/>
    <mergeCell ref="A4:Y4"/>
    <mergeCell ref="A5:A6"/>
    <mergeCell ref="B5:B6"/>
    <mergeCell ref="C5:C6"/>
    <mergeCell ref="D5:D6"/>
    <mergeCell ref="E5:E6"/>
    <mergeCell ref="Y12:Y13"/>
    <mergeCell ref="A11:A13"/>
    <mergeCell ref="B11:B13"/>
    <mergeCell ref="C11:C13"/>
    <mergeCell ref="D11:D13"/>
    <mergeCell ref="O11:O13"/>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5"/>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67</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923"/>
      <c r="B6" s="2923"/>
      <c r="C6" s="2923"/>
      <c r="D6" s="2923"/>
      <c r="E6" s="2923"/>
      <c r="F6" s="2923"/>
      <c r="G6" s="2923"/>
      <c r="H6" s="2923"/>
      <c r="I6" s="2923"/>
      <c r="J6" s="2923"/>
      <c r="K6" s="2923"/>
      <c r="L6" s="2923"/>
      <c r="M6" s="2925"/>
      <c r="N6" s="2924"/>
      <c r="O6" s="2924"/>
      <c r="P6" s="2922"/>
      <c r="Q6" s="2924"/>
      <c r="R6" s="2924"/>
      <c r="S6" s="2924"/>
      <c r="T6" s="2924"/>
      <c r="U6" s="2924"/>
      <c r="V6" s="2922"/>
      <c r="W6" s="2922"/>
      <c r="X6" s="2924"/>
      <c r="Y6" s="2925"/>
    </row>
    <row r="7" spans="1:25" ht="15.6">
      <c r="A7" s="529"/>
      <c r="B7" s="530">
        <v>54</v>
      </c>
      <c r="C7" s="530" t="s">
        <v>114</v>
      </c>
      <c r="D7" s="531" t="s">
        <v>122</v>
      </c>
      <c r="E7" s="532"/>
      <c r="F7" s="533"/>
      <c r="G7" s="533"/>
      <c r="H7" s="534"/>
      <c r="I7" s="533"/>
      <c r="J7" s="533"/>
      <c r="K7" s="533"/>
      <c r="L7" s="533"/>
      <c r="M7" s="535"/>
      <c r="N7" s="536"/>
      <c r="O7" s="532"/>
      <c r="P7" s="532"/>
      <c r="Q7" s="533"/>
      <c r="R7" s="529"/>
      <c r="S7" s="529"/>
      <c r="T7" s="529"/>
      <c r="U7" s="537"/>
      <c r="V7" s="529"/>
      <c r="W7" s="529"/>
      <c r="X7" s="529"/>
      <c r="Y7" s="529"/>
    </row>
    <row r="8" spans="1:25">
      <c r="A8" s="216"/>
      <c r="B8" s="538">
        <v>5402</v>
      </c>
      <c r="C8" s="538" t="s">
        <v>115</v>
      </c>
      <c r="D8" s="539" t="s">
        <v>118</v>
      </c>
      <c r="E8" s="377"/>
      <c r="F8" s="379"/>
      <c r="G8" s="379"/>
      <c r="H8" s="540"/>
      <c r="I8" s="379"/>
      <c r="J8" s="379"/>
      <c r="K8" s="379"/>
      <c r="L8" s="379"/>
      <c r="M8" s="541"/>
      <c r="N8" s="542"/>
      <c r="O8" s="377"/>
      <c r="P8" s="543"/>
      <c r="Q8" s="544"/>
      <c r="R8" s="216"/>
      <c r="S8" s="545"/>
      <c r="T8" s="216"/>
      <c r="U8" s="546"/>
      <c r="V8" s="216"/>
      <c r="W8" s="216"/>
      <c r="X8" s="216"/>
      <c r="Y8" s="216"/>
    </row>
    <row r="9" spans="1:25">
      <c r="A9" s="216"/>
      <c r="B9" s="538">
        <v>5402001</v>
      </c>
      <c r="C9" s="538" t="s">
        <v>116</v>
      </c>
      <c r="D9" s="539" t="s">
        <v>119</v>
      </c>
      <c r="E9" s="377"/>
      <c r="F9" s="379"/>
      <c r="G9" s="379"/>
      <c r="H9" s="540"/>
      <c r="I9" s="379"/>
      <c r="J9" s="379"/>
      <c r="K9" s="379"/>
      <c r="L9" s="379"/>
      <c r="M9" s="541"/>
      <c r="N9" s="547"/>
      <c r="O9" s="548"/>
      <c r="P9" s="543"/>
      <c r="Q9" s="544"/>
      <c r="R9" s="216"/>
      <c r="S9" s="545"/>
      <c r="T9" s="216"/>
      <c r="U9" s="546"/>
      <c r="V9" s="216"/>
      <c r="W9" s="216"/>
      <c r="X9" s="216"/>
      <c r="Y9" s="216"/>
    </row>
    <row r="10" spans="1:25">
      <c r="A10" s="549"/>
      <c r="B10" s="550">
        <v>54020010013</v>
      </c>
      <c r="C10" s="550" t="s">
        <v>117</v>
      </c>
      <c r="D10" s="551" t="s">
        <v>565</v>
      </c>
      <c r="E10" s="377"/>
      <c r="F10" s="552"/>
      <c r="G10" s="379"/>
      <c r="H10" s="552"/>
      <c r="I10" s="379"/>
      <c r="J10" s="379"/>
      <c r="K10" s="379"/>
      <c r="L10" s="379"/>
      <c r="M10" s="541"/>
      <c r="N10" s="547"/>
      <c r="O10" s="548"/>
      <c r="P10" s="541"/>
      <c r="Q10" s="541"/>
      <c r="R10" s="553"/>
      <c r="S10" s="553"/>
      <c r="T10" s="223"/>
      <c r="U10" s="554"/>
      <c r="V10" s="223"/>
      <c r="W10" s="223"/>
      <c r="X10" s="223"/>
      <c r="Y10" s="223"/>
    </row>
    <row r="11" spans="1:25">
      <c r="A11" s="2928">
        <v>4124</v>
      </c>
      <c r="B11" s="2933">
        <v>36030030007</v>
      </c>
      <c r="C11" s="2929" t="s">
        <v>123</v>
      </c>
      <c r="D11" s="2930" t="s">
        <v>566</v>
      </c>
      <c r="E11" s="555" t="s">
        <v>567</v>
      </c>
      <c r="F11" s="556"/>
      <c r="G11" s="216"/>
      <c r="H11" s="555"/>
      <c r="I11" s="212"/>
      <c r="J11" s="213"/>
      <c r="K11" s="557">
        <f>960+K13</f>
        <v>1210</v>
      </c>
      <c r="L11" s="558">
        <f>L12+L13</f>
        <v>1</v>
      </c>
      <c r="M11" s="559">
        <f>71+M13</f>
        <v>71</v>
      </c>
      <c r="N11" s="560">
        <f>N12+N13</f>
        <v>0.1268</v>
      </c>
      <c r="O11" s="2934">
        <f>IF(Q11&gt;0, N11,"na")</f>
        <v>0.1268</v>
      </c>
      <c r="P11" s="561">
        <f>P13+P12</f>
        <v>128801360</v>
      </c>
      <c r="Q11" s="561">
        <f>Q12+Q13</f>
        <v>128801360</v>
      </c>
      <c r="R11" s="557">
        <f>R12+R13</f>
        <v>8876000</v>
      </c>
      <c r="S11" s="557">
        <f>S12+S13</f>
        <v>0</v>
      </c>
      <c r="T11" s="562">
        <f>+IF(Q11=0,0,R11/Q11)</f>
        <v>6.891231583268996E-2</v>
      </c>
      <c r="U11" s="562">
        <f>+IF(R11=0,0,S11/R11)</f>
        <v>0</v>
      </c>
      <c r="V11" s="563"/>
      <c r="W11" s="563"/>
      <c r="X11" s="216"/>
      <c r="Y11" s="2926" t="s">
        <v>568</v>
      </c>
    </row>
    <row r="12" spans="1:25" ht="66">
      <c r="A12" s="2928"/>
      <c r="B12" s="2933"/>
      <c r="C12" s="2929"/>
      <c r="D12" s="2930"/>
      <c r="E12" s="555" t="s">
        <v>569</v>
      </c>
      <c r="F12" s="564"/>
      <c r="G12" s="2927" t="s">
        <v>570</v>
      </c>
      <c r="H12" s="555"/>
      <c r="I12" s="565" t="s">
        <v>571</v>
      </c>
      <c r="J12" s="565" t="s">
        <v>572</v>
      </c>
      <c r="K12" s="549">
        <v>12</v>
      </c>
      <c r="L12" s="566">
        <v>0.76060000000000005</v>
      </c>
      <c r="M12" s="559">
        <v>2</v>
      </c>
      <c r="N12" s="560">
        <v>0.1268</v>
      </c>
      <c r="O12" s="2934"/>
      <c r="P12" s="561">
        <v>97966020</v>
      </c>
      <c r="Q12" s="561">
        <v>97966020</v>
      </c>
      <c r="R12" s="557">
        <v>7122000</v>
      </c>
      <c r="S12" s="557">
        <v>0</v>
      </c>
      <c r="T12" s="562">
        <f>+IF(Q12=0,0,R12/Q12)</f>
        <v>7.2698676541110882E-2</v>
      </c>
      <c r="U12" s="562">
        <f>+IF(R12=0,0,S12/R12)</f>
        <v>0</v>
      </c>
      <c r="V12" s="563">
        <v>45365</v>
      </c>
      <c r="W12" s="563">
        <v>45657</v>
      </c>
      <c r="X12" s="212" t="s">
        <v>573</v>
      </c>
      <c r="Y12" s="2926"/>
    </row>
    <row r="13" spans="1:25" ht="68.400000000000006" customHeight="1">
      <c r="A13" s="2928"/>
      <c r="B13" s="2933"/>
      <c r="C13" s="2929"/>
      <c r="D13" s="2930"/>
      <c r="E13" s="555" t="s">
        <v>574</v>
      </c>
      <c r="F13" s="564"/>
      <c r="G13" s="2927"/>
      <c r="H13" s="555"/>
      <c r="I13" s="212" t="s">
        <v>575</v>
      </c>
      <c r="J13" s="213" t="s">
        <v>576</v>
      </c>
      <c r="K13" s="549">
        <v>250</v>
      </c>
      <c r="L13" s="560">
        <v>0.2394</v>
      </c>
      <c r="M13" s="567">
        <v>0</v>
      </c>
      <c r="N13" s="560">
        <v>0</v>
      </c>
      <c r="O13" s="2934"/>
      <c r="P13" s="561">
        <v>30835340</v>
      </c>
      <c r="Q13" s="561">
        <v>30835340</v>
      </c>
      <c r="R13" s="557">
        <v>1754000</v>
      </c>
      <c r="S13" s="557">
        <v>0</v>
      </c>
      <c r="T13" s="562">
        <f t="shared" ref="T13:U17" si="0">+IF(Q13=0,0,R13/Q13)</f>
        <v>5.6882784493376755E-2</v>
      </c>
      <c r="U13" s="562">
        <f t="shared" si="0"/>
        <v>0</v>
      </c>
      <c r="V13" s="563">
        <v>45365</v>
      </c>
      <c r="W13" s="563">
        <v>45657</v>
      </c>
      <c r="X13" s="212" t="s">
        <v>600</v>
      </c>
      <c r="Y13" s="2926"/>
    </row>
    <row r="14" spans="1:25" ht="27.6">
      <c r="A14" s="216"/>
      <c r="B14" s="568" t="s">
        <v>577</v>
      </c>
      <c r="C14" s="550" t="s">
        <v>117</v>
      </c>
      <c r="D14" s="569" t="s">
        <v>578</v>
      </c>
      <c r="E14" s="223"/>
      <c r="F14" s="552"/>
      <c r="G14" s="379"/>
      <c r="H14" s="570"/>
      <c r="I14" s="379"/>
      <c r="J14" s="379"/>
      <c r="K14" s="379"/>
      <c r="L14" s="379"/>
      <c r="M14" s="541"/>
      <c r="N14" s="571"/>
      <c r="O14" s="572"/>
      <c r="P14" s="573"/>
      <c r="Q14" s="574"/>
      <c r="R14" s="575"/>
      <c r="S14" s="575"/>
      <c r="T14" s="562"/>
      <c r="U14" s="562"/>
      <c r="V14" s="216"/>
      <c r="W14" s="216"/>
      <c r="X14" s="576"/>
      <c r="Y14" s="549"/>
    </row>
    <row r="15" spans="1:25">
      <c r="A15" s="2928">
        <v>4124</v>
      </c>
      <c r="B15" s="2929"/>
      <c r="C15" s="2929" t="s">
        <v>123</v>
      </c>
      <c r="D15" s="2930" t="s">
        <v>579</v>
      </c>
      <c r="E15" s="555" t="s">
        <v>580</v>
      </c>
      <c r="F15" s="577"/>
      <c r="G15" s="578"/>
      <c r="H15" s="579"/>
      <c r="I15" s="379"/>
      <c r="J15" s="379"/>
      <c r="K15" s="557">
        <v>310</v>
      </c>
      <c r="L15" s="580">
        <f>L16+L17</f>
        <v>1</v>
      </c>
      <c r="M15" s="559">
        <f>M16</f>
        <v>40</v>
      </c>
      <c r="N15" s="581">
        <f>N16+N17</f>
        <v>0.1079</v>
      </c>
      <c r="O15" s="2931">
        <f>IF(Q15&gt;0,N15,"na")</f>
        <v>0.1079</v>
      </c>
      <c r="P15" s="557">
        <f>P16+P17</f>
        <v>595274500</v>
      </c>
      <c r="Q15" s="561">
        <f>Q16+Q17</f>
        <v>595274500</v>
      </c>
      <c r="R15" s="557">
        <f>R16+R17</f>
        <v>99564000</v>
      </c>
      <c r="S15" s="557">
        <f>S16+S17</f>
        <v>57500000</v>
      </c>
      <c r="T15" s="562">
        <f t="shared" si="0"/>
        <v>0.16725729054411032</v>
      </c>
      <c r="U15" s="562">
        <f t="shared" si="0"/>
        <v>0.57751797838576191</v>
      </c>
      <c r="V15" s="563"/>
      <c r="W15" s="563"/>
      <c r="X15" s="576"/>
      <c r="Y15" s="2926" t="s">
        <v>568</v>
      </c>
    </row>
    <row r="16" spans="1:25" ht="79.2">
      <c r="A16" s="2928"/>
      <c r="B16" s="2929"/>
      <c r="C16" s="2929"/>
      <c r="D16" s="2930"/>
      <c r="E16" s="555" t="s">
        <v>581</v>
      </c>
      <c r="F16" s="582"/>
      <c r="G16" s="2932" t="s">
        <v>582</v>
      </c>
      <c r="H16" s="570"/>
      <c r="I16" s="583" t="s">
        <v>583</v>
      </c>
      <c r="J16" s="583" t="s">
        <v>584</v>
      </c>
      <c r="K16" s="557">
        <v>310</v>
      </c>
      <c r="L16" s="566">
        <v>0.83650000000000002</v>
      </c>
      <c r="M16" s="559">
        <v>40</v>
      </c>
      <c r="N16" s="581">
        <v>0.1079</v>
      </c>
      <c r="O16" s="2931"/>
      <c r="P16" s="561">
        <v>497932500</v>
      </c>
      <c r="Q16" s="561">
        <v>497932500</v>
      </c>
      <c r="R16" s="557">
        <v>99564000</v>
      </c>
      <c r="S16" s="557">
        <v>57500000</v>
      </c>
      <c r="T16" s="562">
        <f t="shared" si="0"/>
        <v>0.19995481315238511</v>
      </c>
      <c r="U16" s="562">
        <f t="shared" si="0"/>
        <v>0.57751797838576191</v>
      </c>
      <c r="V16" s="563">
        <v>45317</v>
      </c>
      <c r="W16" s="563">
        <v>45657</v>
      </c>
      <c r="X16" s="212" t="s">
        <v>585</v>
      </c>
      <c r="Y16" s="2926"/>
    </row>
    <row r="17" spans="1:25" ht="79.2">
      <c r="A17" s="2928"/>
      <c r="B17" s="2929"/>
      <c r="C17" s="2929"/>
      <c r="D17" s="2930"/>
      <c r="E17" s="555" t="s">
        <v>586</v>
      </c>
      <c r="F17" s="582"/>
      <c r="G17" s="2932"/>
      <c r="H17" s="570"/>
      <c r="I17" s="213" t="s">
        <v>587</v>
      </c>
      <c r="J17" s="583" t="s">
        <v>588</v>
      </c>
      <c r="K17" s="549">
        <v>1</v>
      </c>
      <c r="L17" s="566">
        <v>0.16350000000000001</v>
      </c>
      <c r="M17" s="584">
        <v>0</v>
      </c>
      <c r="N17" s="585">
        <v>0</v>
      </c>
      <c r="O17" s="2931"/>
      <c r="P17" s="561">
        <v>97342000</v>
      </c>
      <c r="Q17" s="561">
        <v>97342000</v>
      </c>
      <c r="R17" s="557">
        <v>0</v>
      </c>
      <c r="S17" s="557">
        <v>0</v>
      </c>
      <c r="T17" s="560">
        <f>+IF(Q17=0,0,R17/Q17)</f>
        <v>0</v>
      </c>
      <c r="U17" s="562">
        <f t="shared" si="0"/>
        <v>0</v>
      </c>
      <c r="V17" s="563">
        <v>45387</v>
      </c>
      <c r="W17" s="563">
        <v>45657</v>
      </c>
      <c r="X17" s="212" t="s">
        <v>589</v>
      </c>
      <c r="Y17" s="2926"/>
    </row>
    <row r="18" spans="1:25" ht="27.6">
      <c r="A18" s="221"/>
      <c r="B18" s="538">
        <v>5402002</v>
      </c>
      <c r="C18" s="398" t="s">
        <v>116</v>
      </c>
      <c r="D18" s="586" t="s">
        <v>590</v>
      </c>
      <c r="E18" s="379"/>
      <c r="F18" s="582"/>
      <c r="G18" s="379"/>
      <c r="H18" s="570"/>
      <c r="I18" s="379"/>
      <c r="J18" s="379"/>
      <c r="K18" s="216"/>
      <c r="L18" s="216"/>
      <c r="M18" s="545"/>
      <c r="N18" s="562"/>
      <c r="O18" s="587"/>
      <c r="P18" s="561"/>
      <c r="Q18" s="561"/>
      <c r="R18" s="588"/>
      <c r="S18" s="588"/>
      <c r="T18" s="549"/>
      <c r="U18" s="589"/>
      <c r="V18" s="549"/>
      <c r="W18" s="549"/>
      <c r="X18" s="576"/>
      <c r="Y18" s="549"/>
    </row>
    <row r="19" spans="1:25">
      <c r="A19" s="590"/>
      <c r="B19" s="550">
        <v>54020020019</v>
      </c>
      <c r="C19" s="550" t="s">
        <v>117</v>
      </c>
      <c r="D19" s="551" t="s">
        <v>591</v>
      </c>
      <c r="E19" s="377"/>
      <c r="F19" s="556"/>
      <c r="G19" s="223"/>
      <c r="H19" s="222"/>
      <c r="I19" s="591"/>
      <c r="J19" s="591"/>
      <c r="K19" s="379"/>
      <c r="L19" s="592"/>
      <c r="M19" s="593"/>
      <c r="N19" s="594"/>
      <c r="O19" s="595"/>
      <c r="P19" s="596"/>
      <c r="Q19" s="596"/>
      <c r="R19" s="597"/>
      <c r="S19" s="597"/>
      <c r="T19" s="223"/>
      <c r="U19" s="554"/>
      <c r="V19" s="223"/>
      <c r="W19" s="223"/>
      <c r="X19" s="598"/>
      <c r="Y19" s="223"/>
    </row>
    <row r="20" spans="1:25">
      <c r="A20" s="2936">
        <v>4124</v>
      </c>
      <c r="B20" s="2938"/>
      <c r="C20" s="2928" t="s">
        <v>123</v>
      </c>
      <c r="D20" s="2930" t="s">
        <v>592</v>
      </c>
      <c r="E20" s="555" t="s">
        <v>593</v>
      </c>
      <c r="F20" s="556"/>
      <c r="G20" s="549"/>
      <c r="H20" s="555"/>
      <c r="I20" s="599"/>
      <c r="J20" s="549"/>
      <c r="K20" s="549">
        <v>2</v>
      </c>
      <c r="L20" s="589">
        <f>L21</f>
        <v>1</v>
      </c>
      <c r="M20" s="549">
        <v>0</v>
      </c>
      <c r="N20" s="589">
        <f>N21</f>
        <v>0.05</v>
      </c>
      <c r="O20" s="2942">
        <f>IF(Q20&gt;0, N20,"na")</f>
        <v>0.05</v>
      </c>
      <c r="P20" s="561">
        <f>P21</f>
        <v>275924140</v>
      </c>
      <c r="Q20" s="561">
        <f>Q21</f>
        <v>275924140</v>
      </c>
      <c r="R20" s="561">
        <f>R21</f>
        <v>30280500</v>
      </c>
      <c r="S20" s="561">
        <f>S21</f>
        <v>0</v>
      </c>
      <c r="T20" s="562">
        <f>+IF(Q20=0,0,R20/Q20)</f>
        <v>0.1097421197000016</v>
      </c>
      <c r="U20" s="562">
        <f>+IF(R20=0,0,S20/R20)</f>
        <v>0</v>
      </c>
      <c r="V20" s="600"/>
      <c r="W20" s="600"/>
      <c r="X20" s="601"/>
      <c r="Y20" s="2926" t="s">
        <v>568</v>
      </c>
    </row>
    <row r="21" spans="1:25" ht="93" customHeight="1">
      <c r="A21" s="2937"/>
      <c r="B21" s="2939"/>
      <c r="C21" s="2940"/>
      <c r="D21" s="2941"/>
      <c r="E21" s="602" t="s">
        <v>594</v>
      </c>
      <c r="F21" s="603"/>
      <c r="G21" s="254" t="s">
        <v>595</v>
      </c>
      <c r="H21" s="602"/>
      <c r="I21" s="604" t="s">
        <v>596</v>
      </c>
      <c r="J21" s="605" t="s">
        <v>597</v>
      </c>
      <c r="K21" s="616">
        <v>0</v>
      </c>
      <c r="L21" s="606">
        <v>1</v>
      </c>
      <c r="M21" s="607">
        <v>0</v>
      </c>
      <c r="N21" s="608">
        <v>0.05</v>
      </c>
      <c r="O21" s="2943"/>
      <c r="P21" s="618">
        <v>275924140</v>
      </c>
      <c r="Q21" s="618">
        <v>275924140</v>
      </c>
      <c r="R21" s="617">
        <v>30280500</v>
      </c>
      <c r="S21" s="617">
        <v>0</v>
      </c>
      <c r="T21" s="608">
        <f>+IF(Q21=0,0,R21/Q21)</f>
        <v>0.1097421197000016</v>
      </c>
      <c r="U21" s="608">
        <f>+IF(R21=0,0,S21/R21)</f>
        <v>0</v>
      </c>
      <c r="V21" s="609">
        <v>45371</v>
      </c>
      <c r="W21" s="609">
        <v>45657</v>
      </c>
      <c r="X21" s="254" t="s">
        <v>598</v>
      </c>
      <c r="Y21" s="2935"/>
    </row>
    <row r="22" spans="1:25">
      <c r="A22" s="27"/>
      <c r="B22" s="27"/>
      <c r="C22" s="27"/>
      <c r="D22" s="27"/>
      <c r="E22" s="27"/>
      <c r="F22" s="51"/>
      <c r="G22" s="612"/>
      <c r="H22" s="612"/>
      <c r="I22" s="612"/>
      <c r="J22" s="613"/>
      <c r="K22" s="613"/>
      <c r="L22" s="27"/>
      <c r="M22" s="27"/>
      <c r="N22" s="27"/>
      <c r="O22" s="27"/>
      <c r="P22" s="27"/>
      <c r="Q22" s="27"/>
      <c r="R22" s="614"/>
      <c r="S22" s="614" t="s">
        <v>599</v>
      </c>
      <c r="T22" s="52"/>
      <c r="U22" s="52"/>
      <c r="V22" s="52"/>
      <c r="W22" s="52"/>
      <c r="X22" s="52"/>
      <c r="Y22" s="52"/>
    </row>
    <row r="23" spans="1:25">
      <c r="A23" s="51"/>
      <c r="B23" s="416" t="s">
        <v>50</v>
      </c>
      <c r="C23" s="45">
        <f>COUNTIF(C7:C21,"pr")</f>
        <v>3</v>
      </c>
      <c r="D23" s="416"/>
      <c r="E23" s="416" t="s">
        <v>126</v>
      </c>
      <c r="F23" s="47"/>
      <c r="G23" s="45">
        <f>COUNTIF(M11:M21,"na")</f>
        <v>0</v>
      </c>
      <c r="H23" s="47"/>
      <c r="I23" s="47"/>
      <c r="J23" s="45"/>
      <c r="K23" s="47"/>
      <c r="L23" s="47"/>
      <c r="M23" s="47"/>
      <c r="N23" s="45" t="s">
        <v>127</v>
      </c>
      <c r="O23" s="615">
        <f>AVERAGE(O11:O21)</f>
        <v>9.4899999999999998E-2</v>
      </c>
      <c r="P23" s="610">
        <f>+P11+P15+P20</f>
        <v>1000000000</v>
      </c>
      <c r="Q23" s="610">
        <f>+Q11+Q15+Q20</f>
        <v>1000000000</v>
      </c>
      <c r="R23" s="610">
        <f>+R11+R15+R20</f>
        <v>138720500</v>
      </c>
      <c r="S23" s="610">
        <f>+S11+S15+S20</f>
        <v>57500000</v>
      </c>
      <c r="T23" s="611">
        <f>+IF(Q23=0,0,R23/Q23)</f>
        <v>0.1387205</v>
      </c>
      <c r="U23" s="611">
        <f>+IF(R23=0,0,S23/R23)</f>
        <v>0.41450254288299132</v>
      </c>
      <c r="V23" s="52"/>
      <c r="W23" s="52"/>
      <c r="X23" s="52"/>
      <c r="Y23" s="52"/>
    </row>
    <row r="24" spans="1:25">
      <c r="A24" s="51"/>
      <c r="B24" s="27"/>
      <c r="C24" s="51"/>
      <c r="D24" s="27"/>
      <c r="E24" s="27"/>
      <c r="F24" s="27"/>
      <c r="G24" s="27"/>
      <c r="H24" s="27"/>
      <c r="I24" s="27"/>
      <c r="J24" s="51"/>
      <c r="K24" s="612"/>
      <c r="M24" s="612"/>
      <c r="N24" s="261" t="s">
        <v>147</v>
      </c>
      <c r="O24" s="48">
        <f>COUNTIF(O12:O21,"=0%")</f>
        <v>0</v>
      </c>
      <c r="P24" s="610">
        <v>1000000000</v>
      </c>
      <c r="Q24" s="610">
        <v>1000000000</v>
      </c>
      <c r="R24" s="610">
        <v>138720500</v>
      </c>
      <c r="S24" s="610">
        <v>57500000</v>
      </c>
      <c r="T24" s="27"/>
      <c r="U24" s="27"/>
      <c r="V24" s="52"/>
      <c r="W24" s="52"/>
      <c r="X24" s="52"/>
      <c r="Y24" s="52"/>
    </row>
    <row r="25" spans="1:25">
      <c r="A25" s="52"/>
      <c r="B25" s="53"/>
      <c r="C25" s="53"/>
      <c r="D25" s="57"/>
      <c r="E25" s="52"/>
      <c r="F25" s="52"/>
      <c r="G25" s="52"/>
      <c r="H25" s="52"/>
      <c r="I25" s="52"/>
      <c r="J25" s="53"/>
      <c r="K25" s="52"/>
      <c r="L25" s="52"/>
      <c r="M25" s="52"/>
      <c r="N25" s="52"/>
      <c r="O25" s="52"/>
      <c r="P25" s="52"/>
      <c r="Q25" s="52"/>
      <c r="R25" s="52"/>
      <c r="S25" s="52"/>
      <c r="T25" s="52"/>
      <c r="U25" s="52"/>
      <c r="V25" s="52"/>
      <c r="W25" s="52"/>
      <c r="X25" s="52"/>
      <c r="Y25" s="52"/>
    </row>
  </sheetData>
  <mergeCells count="52">
    <mergeCell ref="Y20:Y21"/>
    <mergeCell ref="A20:A21"/>
    <mergeCell ref="B20:B21"/>
    <mergeCell ref="C20:C21"/>
    <mergeCell ref="D20:D21"/>
    <mergeCell ref="O20:O21"/>
    <mergeCell ref="Y11:Y13"/>
    <mergeCell ref="G12:G13"/>
    <mergeCell ref="A15:A17"/>
    <mergeCell ref="B15:B17"/>
    <mergeCell ref="C15:C17"/>
    <mergeCell ref="D15:D17"/>
    <mergeCell ref="O15:O17"/>
    <mergeCell ref="Y15:Y17"/>
    <mergeCell ref="G16:G17"/>
    <mergeCell ref="A11:A13"/>
    <mergeCell ref="B11:B13"/>
    <mergeCell ref="C11:C13"/>
    <mergeCell ref="D11:D13"/>
    <mergeCell ref="O11:O13"/>
    <mergeCell ref="E5:E6"/>
    <mergeCell ref="F5:F6"/>
    <mergeCell ref="N5:N6"/>
    <mergeCell ref="A4:Y4"/>
    <mergeCell ref="A2:Y2"/>
    <mergeCell ref="A3:B3"/>
    <mergeCell ref="C3:R3"/>
    <mergeCell ref="S3:U3"/>
    <mergeCell ref="V3:W3"/>
    <mergeCell ref="Y5:Y6"/>
    <mergeCell ref="S5:S6"/>
    <mergeCell ref="T5:T6"/>
    <mergeCell ref="U5:U6"/>
    <mergeCell ref="V5:V6"/>
    <mergeCell ref="W5:W6"/>
    <mergeCell ref="X5:X6"/>
    <mergeCell ref="A1:X1"/>
    <mergeCell ref="P5:P6"/>
    <mergeCell ref="I5:I6"/>
    <mergeCell ref="Q5:Q6"/>
    <mergeCell ref="R5:R6"/>
    <mergeCell ref="J5:J6"/>
    <mergeCell ref="K5:K6"/>
    <mergeCell ref="L5:L6"/>
    <mergeCell ref="C5:C6"/>
    <mergeCell ref="D5:D6"/>
    <mergeCell ref="H5:H6"/>
    <mergeCell ref="O5:O6"/>
    <mergeCell ref="M5:M6"/>
    <mergeCell ref="G5:G6"/>
    <mergeCell ref="A5:A6"/>
    <mergeCell ref="B5:B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58"/>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113</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944" t="s">
        <v>88</v>
      </c>
      <c r="B5" s="2944" t="s">
        <v>4</v>
      </c>
      <c r="C5" s="2944" t="s">
        <v>3</v>
      </c>
      <c r="D5" s="2944" t="s">
        <v>108</v>
      </c>
      <c r="E5" s="2944" t="s">
        <v>2</v>
      </c>
      <c r="F5" s="2944" t="s">
        <v>89</v>
      </c>
      <c r="G5" s="2944" t="s">
        <v>106</v>
      </c>
      <c r="H5" s="2944" t="s">
        <v>107</v>
      </c>
      <c r="I5" s="2944" t="s">
        <v>8</v>
      </c>
      <c r="J5" s="2944" t="s">
        <v>9</v>
      </c>
      <c r="K5" s="2944" t="s">
        <v>10</v>
      </c>
      <c r="L5" s="2944" t="s">
        <v>11</v>
      </c>
      <c r="M5" s="2946" t="s">
        <v>100</v>
      </c>
      <c r="N5" s="2945" t="s">
        <v>12</v>
      </c>
      <c r="O5" s="2945" t="s">
        <v>86</v>
      </c>
      <c r="P5" s="2947" t="s">
        <v>1</v>
      </c>
      <c r="Q5" s="2945" t="s">
        <v>13</v>
      </c>
      <c r="R5" s="2945" t="s">
        <v>14</v>
      </c>
      <c r="S5" s="2945" t="s">
        <v>16</v>
      </c>
      <c r="T5" s="2945" t="s">
        <v>15</v>
      </c>
      <c r="U5" s="2945" t="s">
        <v>103</v>
      </c>
      <c r="V5" s="2947" t="s">
        <v>6</v>
      </c>
      <c r="W5" s="2947" t="s">
        <v>7</v>
      </c>
      <c r="X5" s="2945" t="s">
        <v>0</v>
      </c>
      <c r="Y5" s="2946" t="s">
        <v>90</v>
      </c>
    </row>
    <row r="6" spans="1:25" ht="42.75" customHeight="1">
      <c r="A6" s="2923"/>
      <c r="B6" s="2923"/>
      <c r="C6" s="2923"/>
      <c r="D6" s="2923"/>
      <c r="E6" s="2923"/>
      <c r="F6" s="2923"/>
      <c r="G6" s="2923"/>
      <c r="H6" s="2923"/>
      <c r="I6" s="2923"/>
      <c r="J6" s="2923"/>
      <c r="K6" s="2923"/>
      <c r="L6" s="2923"/>
      <c r="M6" s="2925"/>
      <c r="N6" s="2924"/>
      <c r="O6" s="2924"/>
      <c r="P6" s="2922"/>
      <c r="Q6" s="2924"/>
      <c r="R6" s="2924"/>
      <c r="S6" s="2924"/>
      <c r="T6" s="2924"/>
      <c r="U6" s="2924"/>
      <c r="V6" s="2922"/>
      <c r="W6" s="2922"/>
      <c r="X6" s="2924"/>
      <c r="Y6" s="2925"/>
    </row>
    <row r="7" spans="1:25" ht="15.6">
      <c r="A7" s="635"/>
      <c r="B7" s="636">
        <v>54</v>
      </c>
      <c r="C7" s="636" t="s">
        <v>114</v>
      </c>
      <c r="D7" s="637" t="s">
        <v>201</v>
      </c>
      <c r="E7" s="638"/>
      <c r="F7" s="635"/>
      <c r="G7" s="635"/>
      <c r="H7" s="635"/>
      <c r="I7" s="635"/>
      <c r="J7" s="635"/>
      <c r="K7" s="639"/>
      <c r="L7" s="640"/>
      <c r="M7" s="635"/>
      <c r="N7" s="641"/>
      <c r="O7" s="642"/>
      <c r="P7" s="642"/>
      <c r="Q7" s="635"/>
      <c r="R7" s="635"/>
      <c r="S7" s="635"/>
      <c r="T7" s="643"/>
      <c r="U7" s="643"/>
      <c r="V7" s="635"/>
      <c r="W7" s="635"/>
      <c r="X7" s="635"/>
      <c r="Y7" s="635"/>
    </row>
    <row r="8" spans="1:25" ht="15.6">
      <c r="A8" s="644"/>
      <c r="B8" s="645">
        <v>5402</v>
      </c>
      <c r="C8" s="645" t="s">
        <v>115</v>
      </c>
      <c r="D8" s="646" t="s">
        <v>118</v>
      </c>
      <c r="E8" s="647"/>
      <c r="F8" s="644"/>
      <c r="G8" s="644"/>
      <c r="H8" s="644"/>
      <c r="I8" s="644"/>
      <c r="J8" s="644"/>
      <c r="K8" s="648"/>
      <c r="L8" s="649"/>
      <c r="M8" s="644"/>
      <c r="N8" s="650"/>
      <c r="O8" s="651"/>
      <c r="P8" s="651"/>
      <c r="Q8" s="644"/>
      <c r="R8" s="644"/>
      <c r="S8" s="644"/>
      <c r="T8" s="652"/>
      <c r="U8" s="652"/>
      <c r="V8" s="644"/>
      <c r="W8" s="644"/>
      <c r="X8" s="644"/>
      <c r="Y8" s="653"/>
    </row>
    <row r="9" spans="1:25">
      <c r="A9" s="654"/>
      <c r="B9" s="655">
        <v>5402002</v>
      </c>
      <c r="C9" s="655" t="s">
        <v>116</v>
      </c>
      <c r="D9" s="656" t="s">
        <v>590</v>
      </c>
      <c r="E9" s="657"/>
      <c r="F9" s="654"/>
      <c r="G9" s="654"/>
      <c r="H9" s="654"/>
      <c r="I9" s="654"/>
      <c r="J9" s="654"/>
      <c r="K9" s="658"/>
      <c r="L9" s="659"/>
      <c r="M9" s="654"/>
      <c r="N9" s="660"/>
      <c r="O9" s="661"/>
      <c r="P9" s="661"/>
      <c r="Q9" s="654"/>
      <c r="R9" s="654"/>
      <c r="S9" s="654"/>
      <c r="T9" s="662"/>
      <c r="U9" s="662"/>
      <c r="V9" s="654"/>
      <c r="W9" s="654"/>
      <c r="X9" s="654"/>
      <c r="Y9" s="653"/>
    </row>
    <row r="10" spans="1:25">
      <c r="A10" s="653"/>
      <c r="B10" s="663">
        <v>54020020018</v>
      </c>
      <c r="C10" s="663" t="s">
        <v>117</v>
      </c>
      <c r="D10" s="664" t="s">
        <v>601</v>
      </c>
      <c r="E10" s="663"/>
      <c r="F10" s="663"/>
      <c r="G10" s="663"/>
      <c r="H10" s="320"/>
      <c r="I10" s="665"/>
      <c r="J10" s="666"/>
      <c r="K10" s="667"/>
      <c r="L10" s="668"/>
      <c r="M10" s="320"/>
      <c r="N10" s="322"/>
      <c r="O10" s="320"/>
      <c r="P10" s="320"/>
      <c r="Q10" s="320"/>
      <c r="R10" s="320"/>
      <c r="S10" s="320"/>
      <c r="T10" s="669"/>
      <c r="U10" s="669"/>
      <c r="V10" s="320"/>
      <c r="W10" s="320"/>
      <c r="X10" s="320"/>
      <c r="Y10" s="320"/>
    </row>
    <row r="11" spans="1:25">
      <c r="A11" s="2978">
        <v>4131</v>
      </c>
      <c r="B11" s="2975"/>
      <c r="C11" s="2953" t="s">
        <v>123</v>
      </c>
      <c r="D11" s="2954" t="s">
        <v>602</v>
      </c>
      <c r="E11" s="670" t="s">
        <v>603</v>
      </c>
      <c r="F11" s="673"/>
      <c r="G11" s="672"/>
      <c r="H11" s="746"/>
      <c r="I11" s="674"/>
      <c r="J11" s="674"/>
      <c r="K11" s="675">
        <f>+K16</f>
        <v>1</v>
      </c>
      <c r="L11" s="278">
        <f>SUM(L12:L17)</f>
        <v>0.99999999999999989</v>
      </c>
      <c r="M11" s="676">
        <f>M16</f>
        <v>0</v>
      </c>
      <c r="N11" s="770">
        <f>SUM(N12:N17)</f>
        <v>0.19229999999999997</v>
      </c>
      <c r="O11" s="2955">
        <f>IF(Q11&gt;0,N11,"na")</f>
        <v>0.19229999999999997</v>
      </c>
      <c r="P11" s="677">
        <f t="shared" ref="P11:S11" si="0">SUM(P12:P17)</f>
        <v>1316696139</v>
      </c>
      <c r="Q11" s="677">
        <f t="shared" si="0"/>
        <v>1316696139</v>
      </c>
      <c r="R11" s="677">
        <f t="shared" si="0"/>
        <v>263983300</v>
      </c>
      <c r="S11" s="677">
        <f t="shared" si="0"/>
        <v>166310300</v>
      </c>
      <c r="T11" s="770">
        <f t="shared" ref="T11:U17" si="1">IF(Q11=0,0,R11/Q11)</f>
        <v>0.20048915781016047</v>
      </c>
      <c r="U11" s="770">
        <f t="shared" si="1"/>
        <v>0.63000311004521881</v>
      </c>
      <c r="V11" s="678">
        <v>45309</v>
      </c>
      <c r="W11" s="679">
        <v>45656</v>
      </c>
      <c r="X11" s="680"/>
      <c r="Y11" s="2950" t="s">
        <v>608</v>
      </c>
    </row>
    <row r="12" spans="1:25" ht="158.4">
      <c r="A12" s="2979"/>
      <c r="B12" s="2976"/>
      <c r="C12" s="2949"/>
      <c r="D12" s="2949"/>
      <c r="E12" s="670" t="s">
        <v>604</v>
      </c>
      <c r="F12" s="673"/>
      <c r="G12" s="672"/>
      <c r="H12" s="685"/>
      <c r="I12" s="674" t="s">
        <v>605</v>
      </c>
      <c r="J12" s="674" t="s">
        <v>606</v>
      </c>
      <c r="K12" s="682">
        <v>6</v>
      </c>
      <c r="L12" s="278">
        <v>0.15</v>
      </c>
      <c r="M12" s="676"/>
      <c r="N12" s="770">
        <v>2.5000000000000001E-2</v>
      </c>
      <c r="O12" s="2956"/>
      <c r="P12" s="675">
        <v>488591872</v>
      </c>
      <c r="Q12" s="675">
        <v>488591872</v>
      </c>
      <c r="R12" s="675">
        <v>38328000</v>
      </c>
      <c r="S12" s="675">
        <v>0</v>
      </c>
      <c r="T12" s="770">
        <f t="shared" si="1"/>
        <v>7.8445840376157552E-2</v>
      </c>
      <c r="U12" s="770">
        <f t="shared" si="1"/>
        <v>0</v>
      </c>
      <c r="V12" s="679">
        <v>45340</v>
      </c>
      <c r="W12" s="679">
        <v>45656</v>
      </c>
      <c r="X12" s="277" t="s">
        <v>607</v>
      </c>
      <c r="Y12" s="2951"/>
    </row>
    <row r="13" spans="1:25" ht="158.4">
      <c r="A13" s="2979"/>
      <c r="B13" s="2976"/>
      <c r="C13" s="2949"/>
      <c r="D13" s="2949"/>
      <c r="E13" s="670" t="s">
        <v>609</v>
      </c>
      <c r="F13" s="681"/>
      <c r="G13" s="672"/>
      <c r="H13" s="685"/>
      <c r="I13" s="674" t="s">
        <v>610</v>
      </c>
      <c r="J13" s="674" t="s">
        <v>611</v>
      </c>
      <c r="K13" s="682">
        <v>1</v>
      </c>
      <c r="L13" s="278">
        <v>0.15</v>
      </c>
      <c r="M13" s="676"/>
      <c r="N13" s="770">
        <v>3.7499999999999999E-2</v>
      </c>
      <c r="O13" s="2956"/>
      <c r="P13" s="675">
        <v>323262223</v>
      </c>
      <c r="Q13" s="675">
        <v>323262223</v>
      </c>
      <c r="R13" s="675">
        <v>131803900</v>
      </c>
      <c r="S13" s="675">
        <v>97930900</v>
      </c>
      <c r="T13" s="770">
        <f t="shared" si="1"/>
        <v>0.4077305995634386</v>
      </c>
      <c r="U13" s="770">
        <f t="shared" si="1"/>
        <v>0.7430045696675136</v>
      </c>
      <c r="V13" s="679">
        <v>45309</v>
      </c>
      <c r="W13" s="683">
        <v>45656</v>
      </c>
      <c r="X13" s="277" t="s">
        <v>612</v>
      </c>
      <c r="Y13" s="2951"/>
    </row>
    <row r="14" spans="1:25" ht="39.6">
      <c r="A14" s="2979"/>
      <c r="B14" s="2976"/>
      <c r="C14" s="2949"/>
      <c r="D14" s="2949"/>
      <c r="E14" s="670" t="s">
        <v>613</v>
      </c>
      <c r="F14" s="681"/>
      <c r="G14" s="672"/>
      <c r="H14" s="685"/>
      <c r="I14" s="674" t="s">
        <v>614</v>
      </c>
      <c r="J14" s="674" t="s">
        <v>615</v>
      </c>
      <c r="K14" s="682">
        <v>1</v>
      </c>
      <c r="L14" s="278">
        <v>0.2</v>
      </c>
      <c r="M14" s="676"/>
      <c r="N14" s="770"/>
      <c r="O14" s="2956"/>
      <c r="P14" s="675">
        <v>237294707</v>
      </c>
      <c r="Q14" s="675">
        <v>237294707</v>
      </c>
      <c r="R14" s="675">
        <v>0</v>
      </c>
      <c r="S14" s="675">
        <v>0</v>
      </c>
      <c r="T14" s="770">
        <f t="shared" si="1"/>
        <v>0</v>
      </c>
      <c r="U14" s="770">
        <f t="shared" si="1"/>
        <v>0</v>
      </c>
      <c r="V14" s="679"/>
      <c r="W14" s="683"/>
      <c r="X14" s="277"/>
      <c r="Y14" s="2951"/>
    </row>
    <row r="15" spans="1:25" ht="118.8">
      <c r="A15" s="2979"/>
      <c r="B15" s="2976"/>
      <c r="C15" s="2949"/>
      <c r="D15" s="2949"/>
      <c r="E15" s="670" t="s">
        <v>616</v>
      </c>
      <c r="F15" s="681"/>
      <c r="G15" s="672"/>
      <c r="H15" s="685"/>
      <c r="I15" s="674" t="s">
        <v>617</v>
      </c>
      <c r="J15" s="674" t="s">
        <v>618</v>
      </c>
      <c r="K15" s="682">
        <v>2100</v>
      </c>
      <c r="L15" s="278">
        <v>0.2</v>
      </c>
      <c r="M15" s="676">
        <v>798</v>
      </c>
      <c r="N15" s="770">
        <v>7.9799999999999996E-2</v>
      </c>
      <c r="O15" s="2956"/>
      <c r="P15" s="675">
        <v>130346125</v>
      </c>
      <c r="Q15" s="675">
        <v>130346125</v>
      </c>
      <c r="R15" s="675">
        <v>62074167</v>
      </c>
      <c r="S15" s="675">
        <v>45113167</v>
      </c>
      <c r="T15" s="770">
        <f t="shared" si="1"/>
        <v>0.47622564153709979</v>
      </c>
      <c r="U15" s="770">
        <f t="shared" si="1"/>
        <v>0.72676234221556291</v>
      </c>
      <c r="V15" s="679">
        <v>45309</v>
      </c>
      <c r="W15" s="683">
        <v>45656</v>
      </c>
      <c r="X15" s="270" t="s">
        <v>705</v>
      </c>
      <c r="Y15" s="2951"/>
    </row>
    <row r="16" spans="1:25" ht="79.2">
      <c r="A16" s="2979"/>
      <c r="B16" s="2976"/>
      <c r="C16" s="2949"/>
      <c r="D16" s="2949"/>
      <c r="E16" s="670" t="s">
        <v>619</v>
      </c>
      <c r="F16" s="681"/>
      <c r="G16" s="674" t="s">
        <v>601</v>
      </c>
      <c r="H16" s="685"/>
      <c r="I16" s="674" t="s">
        <v>620</v>
      </c>
      <c r="J16" s="674" t="s">
        <v>251</v>
      </c>
      <c r="K16" s="675">
        <v>1</v>
      </c>
      <c r="L16" s="278">
        <v>0.2</v>
      </c>
      <c r="M16" s="676"/>
      <c r="N16" s="770">
        <v>0.05</v>
      </c>
      <c r="O16" s="2956"/>
      <c r="P16" s="675">
        <v>71171247</v>
      </c>
      <c r="Q16" s="685">
        <v>71171247</v>
      </c>
      <c r="R16" s="675">
        <v>31777233</v>
      </c>
      <c r="S16" s="675">
        <v>23266233</v>
      </c>
      <c r="T16" s="770">
        <f t="shared" si="1"/>
        <v>0.44648976011337838</v>
      </c>
      <c r="U16" s="770">
        <f t="shared" si="1"/>
        <v>0.73216673711018199</v>
      </c>
      <c r="V16" s="679">
        <v>45309</v>
      </c>
      <c r="W16" s="683">
        <v>45656</v>
      </c>
      <c r="X16" s="277" t="s">
        <v>621</v>
      </c>
      <c r="Y16" s="2951"/>
    </row>
    <row r="17" spans="1:25" ht="52.8">
      <c r="A17" s="2980"/>
      <c r="B17" s="2977"/>
      <c r="C17" s="2949"/>
      <c r="D17" s="2949"/>
      <c r="E17" s="670" t="s">
        <v>622</v>
      </c>
      <c r="F17" s="681"/>
      <c r="G17" s="672"/>
      <c r="H17" s="685"/>
      <c r="I17" s="674" t="s">
        <v>623</v>
      </c>
      <c r="J17" s="674" t="s">
        <v>255</v>
      </c>
      <c r="K17" s="686">
        <v>1</v>
      </c>
      <c r="L17" s="278">
        <v>0.1</v>
      </c>
      <c r="M17" s="676"/>
      <c r="N17" s="770"/>
      <c r="O17" s="2956"/>
      <c r="P17" s="675">
        <v>66029965</v>
      </c>
      <c r="Q17" s="675">
        <v>66029965</v>
      </c>
      <c r="R17" s="675">
        <v>0</v>
      </c>
      <c r="S17" s="675">
        <v>0</v>
      </c>
      <c r="T17" s="770">
        <f t="shared" si="1"/>
        <v>0</v>
      </c>
      <c r="U17" s="770">
        <f t="shared" si="1"/>
        <v>0</v>
      </c>
      <c r="V17" s="679"/>
      <c r="W17" s="316"/>
      <c r="X17" s="277"/>
      <c r="Y17" s="2952"/>
    </row>
    <row r="18" spans="1:25">
      <c r="A18" s="687"/>
      <c r="B18" s="663">
        <v>54020020021</v>
      </c>
      <c r="C18" s="688" t="s">
        <v>117</v>
      </c>
      <c r="D18" s="664" t="s">
        <v>624</v>
      </c>
      <c r="E18" s="666"/>
      <c r="F18" s="689"/>
      <c r="G18" s="664"/>
      <c r="H18" s="276"/>
      <c r="I18" s="665"/>
      <c r="J18" s="665"/>
      <c r="K18" s="318"/>
      <c r="L18" s="318"/>
      <c r="M18" s="319"/>
      <c r="N18" s="781"/>
      <c r="O18" s="780"/>
      <c r="P18" s="320"/>
      <c r="Q18" s="321"/>
      <c r="R18" s="321"/>
      <c r="S18" s="321"/>
      <c r="T18" s="323"/>
      <c r="U18" s="323"/>
      <c r="V18" s="320"/>
      <c r="W18" s="320"/>
      <c r="X18" s="320"/>
      <c r="Y18" s="320"/>
    </row>
    <row r="19" spans="1:25">
      <c r="A19" s="2953">
        <v>4131</v>
      </c>
      <c r="B19" s="2957"/>
      <c r="C19" s="2957" t="s">
        <v>123</v>
      </c>
      <c r="D19" s="2954" t="s">
        <v>625</v>
      </c>
      <c r="E19" s="671" t="s">
        <v>626</v>
      </c>
      <c r="F19" s="690"/>
      <c r="G19" s="670"/>
      <c r="H19" s="437"/>
      <c r="I19" s="674"/>
      <c r="J19" s="674"/>
      <c r="K19" s="682"/>
      <c r="L19" s="691">
        <f t="shared" ref="L19:N19" si="2">SUM(L20:L21)</f>
        <v>1</v>
      </c>
      <c r="M19" s="691">
        <f t="shared" si="2"/>
        <v>0</v>
      </c>
      <c r="N19" s="770">
        <f t="shared" si="2"/>
        <v>0.24399999999999999</v>
      </c>
      <c r="O19" s="2958">
        <f>IF(Q19&gt;0,N19,"na")</f>
        <v>0.24399999999999999</v>
      </c>
      <c r="P19" s="677">
        <f t="shared" ref="P19:S19" si="3">SUM(P20:P21)</f>
        <v>229983667</v>
      </c>
      <c r="Q19" s="677">
        <f t="shared" si="3"/>
        <v>229983667</v>
      </c>
      <c r="R19" s="675">
        <f t="shared" si="3"/>
        <v>70952000</v>
      </c>
      <c r="S19" s="675">
        <f t="shared" si="3"/>
        <v>53214000</v>
      </c>
      <c r="T19" s="770">
        <f t="shared" ref="T19:U21" si="4">IF(Q19=0,0,R19/Q19)</f>
        <v>0.30850886467515976</v>
      </c>
      <c r="U19" s="770">
        <f t="shared" si="4"/>
        <v>0.75</v>
      </c>
      <c r="V19" s="362"/>
      <c r="W19" s="362"/>
      <c r="X19" s="362"/>
      <c r="Y19" s="317"/>
    </row>
    <row r="20" spans="1:25" ht="171.6">
      <c r="A20" s="2949"/>
      <c r="B20" s="2949"/>
      <c r="C20" s="2949"/>
      <c r="D20" s="2949"/>
      <c r="E20" s="671" t="s">
        <v>627</v>
      </c>
      <c r="F20" s="671"/>
      <c r="G20" s="672" t="s">
        <v>628</v>
      </c>
      <c r="H20" s="436"/>
      <c r="I20" s="674" t="s">
        <v>629</v>
      </c>
      <c r="J20" s="674" t="s">
        <v>138</v>
      </c>
      <c r="K20" s="686">
        <v>1</v>
      </c>
      <c r="L20" s="691">
        <v>0.5</v>
      </c>
      <c r="M20" s="682"/>
      <c r="N20" s="782">
        <v>0.12</v>
      </c>
      <c r="O20" s="2956"/>
      <c r="P20" s="675">
        <v>134847967</v>
      </c>
      <c r="Q20" s="675">
        <v>134847967</v>
      </c>
      <c r="R20" s="675">
        <v>57832000</v>
      </c>
      <c r="S20" s="675">
        <v>43374000</v>
      </c>
      <c r="T20" s="770">
        <f t="shared" si="4"/>
        <v>0.42886816380405646</v>
      </c>
      <c r="U20" s="770">
        <f t="shared" si="4"/>
        <v>0.75</v>
      </c>
      <c r="V20" s="679">
        <v>45307</v>
      </c>
      <c r="W20" s="683">
        <v>45657</v>
      </c>
      <c r="X20" s="277" t="s">
        <v>630</v>
      </c>
      <c r="Y20" s="2948" t="s">
        <v>631</v>
      </c>
    </row>
    <row r="21" spans="1:25" ht="115.2" customHeight="1">
      <c r="A21" s="2949"/>
      <c r="B21" s="2949"/>
      <c r="C21" s="2949"/>
      <c r="D21" s="2949"/>
      <c r="E21" s="671" t="s">
        <v>632</v>
      </c>
      <c r="F21" s="670"/>
      <c r="G21" s="671"/>
      <c r="H21" s="437"/>
      <c r="I21" s="674" t="s">
        <v>633</v>
      </c>
      <c r="J21" s="674" t="s">
        <v>139</v>
      </c>
      <c r="K21" s="686">
        <v>1</v>
      </c>
      <c r="L21" s="692">
        <v>0.5</v>
      </c>
      <c r="M21" s="686"/>
      <c r="N21" s="782">
        <v>0.124</v>
      </c>
      <c r="O21" s="2956"/>
      <c r="P21" s="675">
        <v>95135700</v>
      </c>
      <c r="Q21" s="675">
        <v>95135700</v>
      </c>
      <c r="R21" s="675">
        <v>13120000</v>
      </c>
      <c r="S21" s="675">
        <v>9840000</v>
      </c>
      <c r="T21" s="770">
        <f t="shared" si="4"/>
        <v>0.13790827207872544</v>
      </c>
      <c r="U21" s="770">
        <f t="shared" si="4"/>
        <v>0.75</v>
      </c>
      <c r="V21" s="679">
        <v>45307</v>
      </c>
      <c r="W21" s="683">
        <v>45657</v>
      </c>
      <c r="X21" s="277" t="s">
        <v>634</v>
      </c>
      <c r="Y21" s="2949"/>
    </row>
    <row r="22" spans="1:25">
      <c r="A22" s="654"/>
      <c r="B22" s="655">
        <v>5402004</v>
      </c>
      <c r="C22" s="655" t="s">
        <v>116</v>
      </c>
      <c r="D22" s="656" t="s">
        <v>635</v>
      </c>
      <c r="E22" s="657"/>
      <c r="F22" s="654"/>
      <c r="G22" s="654"/>
      <c r="H22" s="321"/>
      <c r="I22" s="654"/>
      <c r="J22" s="654"/>
      <c r="K22" s="693"/>
      <c r="L22" s="694"/>
      <c r="M22" s="321"/>
      <c r="N22" s="695"/>
      <c r="O22" s="696"/>
      <c r="P22" s="697"/>
      <c r="Q22" s="321"/>
      <c r="R22" s="321"/>
      <c r="S22" s="321"/>
      <c r="T22" s="771"/>
      <c r="U22" s="771"/>
      <c r="V22" s="321"/>
      <c r="W22" s="321"/>
      <c r="X22" s="321"/>
      <c r="Y22" s="320"/>
    </row>
    <row r="23" spans="1:25" ht="27.6">
      <c r="A23" s="698"/>
      <c r="B23" s="663">
        <v>54020040001</v>
      </c>
      <c r="C23" s="699" t="s">
        <v>117</v>
      </c>
      <c r="D23" s="664" t="s">
        <v>636</v>
      </c>
      <c r="E23" s="699"/>
      <c r="F23" s="700"/>
      <c r="G23" s="701"/>
      <c r="H23" s="747"/>
      <c r="I23" s="701"/>
      <c r="J23" s="699"/>
      <c r="K23" s="702"/>
      <c r="L23" s="703"/>
      <c r="M23" s="704"/>
      <c r="N23" s="772"/>
      <c r="O23" s="705"/>
      <c r="P23" s="706"/>
      <c r="Q23" s="706"/>
      <c r="R23" s="706"/>
      <c r="S23" s="706"/>
      <c r="T23" s="772"/>
      <c r="U23" s="772"/>
      <c r="V23" s="707"/>
      <c r="W23" s="707"/>
      <c r="X23" s="706"/>
      <c r="Y23" s="708"/>
    </row>
    <row r="24" spans="1:25">
      <c r="A24" s="2975">
        <v>4131</v>
      </c>
      <c r="B24" s="671"/>
      <c r="C24" s="2953" t="s">
        <v>123</v>
      </c>
      <c r="D24" s="2959" t="s">
        <v>637</v>
      </c>
      <c r="E24" s="670" t="s">
        <v>638</v>
      </c>
      <c r="F24" s="681"/>
      <c r="G24" s="687"/>
      <c r="H24" s="746"/>
      <c r="I24" s="687"/>
      <c r="J24" s="671"/>
      <c r="K24" s="686"/>
      <c r="L24" s="709">
        <f>SUM(L25:L26)</f>
        <v>1</v>
      </c>
      <c r="M24" s="684">
        <f>M25</f>
        <v>0</v>
      </c>
      <c r="N24" s="782">
        <f>SUM(N25:N26)</f>
        <v>0.20619999999999999</v>
      </c>
      <c r="O24" s="2958">
        <f>IF(Q24&gt;0,N24,"na")</f>
        <v>0.20619999999999999</v>
      </c>
      <c r="P24" s="710">
        <f t="shared" ref="P24:S24" si="5">SUM(P25:P26)</f>
        <v>3210313695</v>
      </c>
      <c r="Q24" s="710">
        <f t="shared" si="5"/>
        <v>3210313695</v>
      </c>
      <c r="R24" s="710">
        <f t="shared" si="5"/>
        <v>1539849331</v>
      </c>
      <c r="S24" s="710">
        <f t="shared" si="5"/>
        <v>896294500</v>
      </c>
      <c r="T24" s="770">
        <f t="shared" ref="T24:U26" si="6">IF(Q24=0,0,R24/Q24)</f>
        <v>0.47965696729210133</v>
      </c>
      <c r="U24" s="770">
        <f t="shared" si="6"/>
        <v>0.58206636321875316</v>
      </c>
      <c r="V24" s="679"/>
      <c r="W24" s="683"/>
      <c r="X24" s="680"/>
      <c r="Y24" s="2950" t="s">
        <v>643</v>
      </c>
    </row>
    <row r="25" spans="1:25" ht="92.4">
      <c r="A25" s="2976"/>
      <c r="B25" s="687"/>
      <c r="C25" s="2949"/>
      <c r="D25" s="2949"/>
      <c r="E25" s="670" t="s">
        <v>639</v>
      </c>
      <c r="F25" s="671"/>
      <c r="G25" s="674" t="s">
        <v>636</v>
      </c>
      <c r="H25" s="746"/>
      <c r="I25" s="674" t="s">
        <v>640</v>
      </c>
      <c r="J25" s="674" t="s">
        <v>641</v>
      </c>
      <c r="K25" s="675">
        <v>1</v>
      </c>
      <c r="L25" s="709">
        <v>0.5</v>
      </c>
      <c r="M25" s="675">
        <v>0</v>
      </c>
      <c r="N25" s="782">
        <v>8.7499999999999994E-2</v>
      </c>
      <c r="O25" s="2956"/>
      <c r="P25" s="675">
        <v>64513400</v>
      </c>
      <c r="Q25" s="675">
        <v>64513400</v>
      </c>
      <c r="R25" s="675">
        <v>43159000</v>
      </c>
      <c r="S25" s="675">
        <v>31002000</v>
      </c>
      <c r="T25" s="770">
        <f t="shared" si="6"/>
        <v>0.66899279839537218</v>
      </c>
      <c r="U25" s="770">
        <f t="shared" ref="T25:U30" si="7">IF(R25=0,0,S25/R25)</f>
        <v>0.71832062837415145</v>
      </c>
      <c r="V25" s="679">
        <v>45306</v>
      </c>
      <c r="W25" s="679">
        <v>45657</v>
      </c>
      <c r="X25" s="277" t="s">
        <v>642</v>
      </c>
      <c r="Y25" s="2951"/>
    </row>
    <row r="26" spans="1:25" ht="52.8">
      <c r="A26" s="2977"/>
      <c r="B26" s="687"/>
      <c r="C26" s="2949"/>
      <c r="D26" s="2949"/>
      <c r="E26" s="670" t="s">
        <v>644</v>
      </c>
      <c r="F26" s="671"/>
      <c r="G26" s="687"/>
      <c r="H26" s="746"/>
      <c r="I26" s="674" t="s">
        <v>490</v>
      </c>
      <c r="J26" s="674" t="s">
        <v>139</v>
      </c>
      <c r="K26" s="675">
        <v>1</v>
      </c>
      <c r="L26" s="709">
        <v>0.5</v>
      </c>
      <c r="M26" s="675">
        <v>0</v>
      </c>
      <c r="N26" s="782">
        <v>0.1187</v>
      </c>
      <c r="O26" s="2956"/>
      <c r="P26" s="675">
        <v>3145800295</v>
      </c>
      <c r="Q26" s="675">
        <v>3145800295</v>
      </c>
      <c r="R26" s="675">
        <v>1496690331</v>
      </c>
      <c r="S26" s="675">
        <v>865292500</v>
      </c>
      <c r="T26" s="770">
        <f t="shared" si="6"/>
        <v>0.47577410854047875</v>
      </c>
      <c r="U26" s="770">
        <f t="shared" si="7"/>
        <v>0.57813729538952974</v>
      </c>
      <c r="V26" s="679">
        <v>45306</v>
      </c>
      <c r="W26" s="679">
        <v>45657</v>
      </c>
      <c r="X26" s="711" t="s">
        <v>645</v>
      </c>
      <c r="Y26" s="2952"/>
    </row>
    <row r="27" spans="1:25" ht="27.6">
      <c r="A27" s="663"/>
      <c r="B27" s="663">
        <v>54020040002</v>
      </c>
      <c r="C27" s="663" t="s">
        <v>117</v>
      </c>
      <c r="D27" s="664" t="s">
        <v>646</v>
      </c>
      <c r="E27" s="663"/>
      <c r="F27" s="712"/>
      <c r="G27" s="653"/>
      <c r="H27" s="322"/>
      <c r="I27" s="653"/>
      <c r="J27" s="663"/>
      <c r="K27" s="667"/>
      <c r="L27" s="713"/>
      <c r="M27" s="323"/>
      <c r="N27" s="781"/>
      <c r="O27" s="714"/>
      <c r="P27" s="319"/>
      <c r="Q27" s="319"/>
      <c r="R27" s="715"/>
      <c r="S27" s="319"/>
      <c r="T27" s="323"/>
      <c r="U27" s="323"/>
      <c r="V27" s="716"/>
      <c r="W27" s="716"/>
      <c r="X27" s="320"/>
      <c r="Y27" s="317"/>
    </row>
    <row r="28" spans="1:25">
      <c r="A28" s="2975">
        <v>4131</v>
      </c>
      <c r="B28" s="2975"/>
      <c r="C28" s="2953" t="s">
        <v>123</v>
      </c>
      <c r="D28" s="2954" t="s">
        <v>647</v>
      </c>
      <c r="E28" s="670" t="s">
        <v>648</v>
      </c>
      <c r="F28" s="681"/>
      <c r="G28" s="672"/>
      <c r="H28" s="685"/>
      <c r="I28" s="687"/>
      <c r="J28" s="671"/>
      <c r="K28" s="686"/>
      <c r="L28" s="709">
        <f>SUM(L29:L30)</f>
        <v>1</v>
      </c>
      <c r="M28" s="717">
        <f>M29</f>
        <v>0</v>
      </c>
      <c r="N28" s="782">
        <f>N30+N29</f>
        <v>0.19</v>
      </c>
      <c r="O28" s="2955">
        <f>IF(Q28&gt;0,N28,"na")</f>
        <v>0.19</v>
      </c>
      <c r="P28" s="677">
        <f t="shared" ref="P28:S28" si="8">SUM(P29:P30)</f>
        <v>4135946143</v>
      </c>
      <c r="Q28" s="677">
        <f t="shared" si="8"/>
        <v>4135946143</v>
      </c>
      <c r="R28" s="677">
        <f t="shared" si="8"/>
        <v>1671031901</v>
      </c>
      <c r="S28" s="677">
        <f t="shared" si="8"/>
        <v>1152779000</v>
      </c>
      <c r="T28" s="770">
        <f t="shared" si="7"/>
        <v>0.40402651369824666</v>
      </c>
      <c r="U28" s="773">
        <f t="shared" si="7"/>
        <v>0.68986055820367009</v>
      </c>
      <c r="V28" s="718"/>
      <c r="W28" s="718"/>
      <c r="X28" s="277"/>
      <c r="Y28" s="320"/>
    </row>
    <row r="29" spans="1:25" ht="105.6">
      <c r="A29" s="2976"/>
      <c r="B29" s="2976"/>
      <c r="C29" s="2949"/>
      <c r="D29" s="2949"/>
      <c r="E29" s="670" t="s">
        <v>649</v>
      </c>
      <c r="F29" s="671"/>
      <c r="G29" s="674" t="s">
        <v>646</v>
      </c>
      <c r="H29" s="746"/>
      <c r="I29" s="674" t="s">
        <v>650</v>
      </c>
      <c r="J29" s="674" t="s">
        <v>651</v>
      </c>
      <c r="K29" s="682">
        <v>1</v>
      </c>
      <c r="L29" s="709">
        <v>0.4</v>
      </c>
      <c r="M29" s="675">
        <v>0</v>
      </c>
      <c r="N29" s="782">
        <v>7.0000000000000007E-2</v>
      </c>
      <c r="O29" s="2956"/>
      <c r="P29" s="675">
        <v>965154060</v>
      </c>
      <c r="Q29" s="675">
        <v>965154060</v>
      </c>
      <c r="R29" s="675">
        <v>232899867</v>
      </c>
      <c r="S29" s="675">
        <v>159472000</v>
      </c>
      <c r="T29" s="770">
        <f t="shared" si="7"/>
        <v>0.24130848809774472</v>
      </c>
      <c r="U29" s="770">
        <f t="shared" si="7"/>
        <v>0.68472344812459685</v>
      </c>
      <c r="V29" s="679">
        <v>45306</v>
      </c>
      <c r="W29" s="679">
        <v>45657</v>
      </c>
      <c r="X29" s="277" t="s">
        <v>652</v>
      </c>
      <c r="Y29" s="2948" t="s">
        <v>643</v>
      </c>
    </row>
    <row r="30" spans="1:25" ht="59.4" customHeight="1">
      <c r="A30" s="2977"/>
      <c r="B30" s="2977"/>
      <c r="C30" s="2949"/>
      <c r="D30" s="2949"/>
      <c r="E30" s="670" t="s">
        <v>653</v>
      </c>
      <c r="F30" s="671"/>
      <c r="G30" s="687"/>
      <c r="H30" s="437"/>
      <c r="I30" s="674" t="s">
        <v>490</v>
      </c>
      <c r="J30" s="674" t="s">
        <v>139</v>
      </c>
      <c r="K30" s="682">
        <v>1</v>
      </c>
      <c r="L30" s="709">
        <v>0.6</v>
      </c>
      <c r="M30" s="675">
        <v>0</v>
      </c>
      <c r="N30" s="782">
        <v>0.12</v>
      </c>
      <c r="O30" s="2956"/>
      <c r="P30" s="675">
        <v>3170792083</v>
      </c>
      <c r="Q30" s="675">
        <v>3170792083</v>
      </c>
      <c r="R30" s="675">
        <v>1438132034</v>
      </c>
      <c r="S30" s="675">
        <v>993307000</v>
      </c>
      <c r="T30" s="770">
        <f t="shared" si="7"/>
        <v>0.45355608199933806</v>
      </c>
      <c r="U30" s="770">
        <f t="shared" si="7"/>
        <v>0.69069249312055869</v>
      </c>
      <c r="V30" s="679">
        <v>45306</v>
      </c>
      <c r="W30" s="679">
        <v>45657</v>
      </c>
      <c r="X30" s="711" t="s">
        <v>654</v>
      </c>
      <c r="Y30" s="2949"/>
    </row>
    <row r="31" spans="1:25" ht="27.6">
      <c r="A31" s="719"/>
      <c r="B31" s="720">
        <v>54020040003</v>
      </c>
      <c r="C31" s="720" t="s">
        <v>117</v>
      </c>
      <c r="D31" s="784" t="s">
        <v>658</v>
      </c>
      <c r="E31" s="721"/>
      <c r="F31" s="722"/>
      <c r="G31" s="719"/>
      <c r="H31" s="748"/>
      <c r="I31" s="719"/>
      <c r="J31" s="719"/>
      <c r="K31" s="723"/>
      <c r="L31" s="724"/>
      <c r="M31" s="725"/>
      <c r="N31" s="774"/>
      <c r="O31" s="774"/>
      <c r="P31" s="685"/>
      <c r="Q31" s="685"/>
      <c r="R31" s="685"/>
      <c r="S31" s="685"/>
      <c r="T31" s="774"/>
      <c r="U31" s="774"/>
      <c r="V31" s="726"/>
      <c r="W31" s="726"/>
      <c r="X31" s="726"/>
      <c r="Y31" s="317"/>
    </row>
    <row r="32" spans="1:25">
      <c r="A32" s="2978">
        <v>4131</v>
      </c>
      <c r="B32" s="2981"/>
      <c r="C32" s="2960" t="s">
        <v>123</v>
      </c>
      <c r="D32" s="2961" t="s">
        <v>655</v>
      </c>
      <c r="E32" s="670" t="s">
        <v>656</v>
      </c>
      <c r="F32" s="674"/>
      <c r="G32" s="674"/>
      <c r="H32" s="717"/>
      <c r="I32" s="674"/>
      <c r="J32" s="674"/>
      <c r="K32" s="675">
        <f>SUM(K33+K34+K35)</f>
        <v>201445</v>
      </c>
      <c r="L32" s="709">
        <v>1</v>
      </c>
      <c r="M32" s="675">
        <f>M33+M34+M35</f>
        <v>623</v>
      </c>
      <c r="N32" s="782">
        <f>SUM(N33:N35)</f>
        <v>0.15289999999999998</v>
      </c>
      <c r="O32" s="2955">
        <f>IF(Q32&gt;0,N32,"na")</f>
        <v>0.15289999999999998</v>
      </c>
      <c r="P32" s="675">
        <f t="shared" ref="P32:S32" si="9">SUM(P33:P35)</f>
        <v>9238578982</v>
      </c>
      <c r="Q32" s="675">
        <f t="shared" si="9"/>
        <v>9238578982</v>
      </c>
      <c r="R32" s="675">
        <f t="shared" si="9"/>
        <v>4185307114</v>
      </c>
      <c r="S32" s="675">
        <f t="shared" si="9"/>
        <v>2885682130</v>
      </c>
      <c r="T32" s="278">
        <f t="shared" ref="T32:U35" si="10">+IF(Q32=0,0,R32/Q32)</f>
        <v>0.45302498600211677</v>
      </c>
      <c r="U32" s="278">
        <f t="shared" si="10"/>
        <v>0.68947918310398093</v>
      </c>
      <c r="V32" s="362"/>
      <c r="W32" s="362"/>
      <c r="X32" s="362"/>
      <c r="Y32" s="317"/>
    </row>
    <row r="33" spans="1:25" ht="145.19999999999999">
      <c r="A33" s="2979"/>
      <c r="B33" s="2982"/>
      <c r="C33" s="2949"/>
      <c r="D33" s="2949"/>
      <c r="E33" s="671" t="s">
        <v>657</v>
      </c>
      <c r="F33" s="674"/>
      <c r="G33" s="674" t="s">
        <v>658</v>
      </c>
      <c r="H33" s="749"/>
      <c r="I33" s="674" t="s">
        <v>659</v>
      </c>
      <c r="J33" s="674" t="s">
        <v>660</v>
      </c>
      <c r="K33" s="682">
        <v>1</v>
      </c>
      <c r="L33" s="709">
        <v>0.4</v>
      </c>
      <c r="M33" s="677">
        <v>1</v>
      </c>
      <c r="N33" s="782">
        <v>7.22E-2</v>
      </c>
      <c r="O33" s="2956"/>
      <c r="P33" s="675">
        <v>3565989535</v>
      </c>
      <c r="Q33" s="675">
        <f>1853256375+1450511840+262221320</f>
        <v>3565989535</v>
      </c>
      <c r="R33" s="675">
        <f>886162880+700477000+119040000</f>
        <v>1705679880</v>
      </c>
      <c r="S33" s="675">
        <f>598430660+448789000+83266000</f>
        <v>1130485660</v>
      </c>
      <c r="T33" s="278">
        <f t="shared" si="10"/>
        <v>0.47831881256488318</v>
      </c>
      <c r="U33" s="278">
        <f t="shared" si="10"/>
        <v>0.66277715605111087</v>
      </c>
      <c r="V33" s="679">
        <v>45309</v>
      </c>
      <c r="W33" s="679">
        <v>45657</v>
      </c>
      <c r="X33" s="277" t="s">
        <v>661</v>
      </c>
      <c r="Y33" s="2948" t="s">
        <v>662</v>
      </c>
    </row>
    <row r="34" spans="1:25" ht="105.6">
      <c r="A34" s="2979"/>
      <c r="B34" s="2982"/>
      <c r="C34" s="2949"/>
      <c r="D34" s="2949"/>
      <c r="E34" s="671" t="s">
        <v>663</v>
      </c>
      <c r="F34" s="674"/>
      <c r="G34" s="674"/>
      <c r="H34" s="362"/>
      <c r="I34" s="674" t="s">
        <v>664</v>
      </c>
      <c r="J34" s="674" t="s">
        <v>665</v>
      </c>
      <c r="K34" s="675">
        <v>201436</v>
      </c>
      <c r="L34" s="709">
        <v>0.4</v>
      </c>
      <c r="M34" s="677">
        <f>42+178+9+385</f>
        <v>614</v>
      </c>
      <c r="N34" s="782">
        <v>8.0699999999999994E-2</v>
      </c>
      <c r="O34" s="2956"/>
      <c r="P34" s="675">
        <v>5472463790</v>
      </c>
      <c r="Q34" s="675">
        <f>2336792480+945436840+804653710+848700790+536879970</f>
        <v>5472463790</v>
      </c>
      <c r="R34" s="675">
        <f>1050966867+369892000+370645000+390425867+282249000</f>
        <v>2464178734</v>
      </c>
      <c r="S34" s="675">
        <f>737667603+261012000+273882000+278028867+204606000</f>
        <v>1755196470</v>
      </c>
      <c r="T34" s="278">
        <f t="shared" si="10"/>
        <v>0.45028689609657518</v>
      </c>
      <c r="U34" s="278">
        <f t="shared" si="10"/>
        <v>0.71228456190386069</v>
      </c>
      <c r="V34" s="679">
        <v>45309</v>
      </c>
      <c r="W34" s="679">
        <v>45657</v>
      </c>
      <c r="X34" s="277" t="s">
        <v>666</v>
      </c>
      <c r="Y34" s="2949"/>
    </row>
    <row r="35" spans="1:25" ht="39.6">
      <c r="A35" s="2980"/>
      <c r="B35" s="2983"/>
      <c r="C35" s="2949"/>
      <c r="D35" s="2949"/>
      <c r="E35" s="671" t="s">
        <v>667</v>
      </c>
      <c r="F35" s="674"/>
      <c r="G35" s="674"/>
      <c r="H35" s="362"/>
      <c r="I35" s="674" t="s">
        <v>668</v>
      </c>
      <c r="J35" s="674" t="s">
        <v>669</v>
      </c>
      <c r="K35" s="682">
        <v>8</v>
      </c>
      <c r="L35" s="709">
        <v>0.2</v>
      </c>
      <c r="M35" s="677">
        <v>8</v>
      </c>
      <c r="N35" s="782">
        <v>0</v>
      </c>
      <c r="O35" s="2956"/>
      <c r="P35" s="675">
        <v>200125657</v>
      </c>
      <c r="Q35" s="675">
        <f>200125657</f>
        <v>200125657</v>
      </c>
      <c r="R35" s="675">
        <f>15448500</f>
        <v>15448500</v>
      </c>
      <c r="S35" s="675">
        <v>0</v>
      </c>
      <c r="T35" s="278">
        <f t="shared" si="10"/>
        <v>7.7194000167604693E-2</v>
      </c>
      <c r="U35" s="278">
        <f t="shared" si="10"/>
        <v>0</v>
      </c>
      <c r="V35" s="679">
        <v>45309</v>
      </c>
      <c r="W35" s="679">
        <v>45657</v>
      </c>
      <c r="X35" s="277" t="s">
        <v>670</v>
      </c>
      <c r="Y35" s="2949"/>
    </row>
    <row r="36" spans="1:25">
      <c r="A36" s="653"/>
      <c r="B36" s="663">
        <v>54020040006</v>
      </c>
      <c r="C36" s="663" t="s">
        <v>117</v>
      </c>
      <c r="D36" s="665" t="s">
        <v>671</v>
      </c>
      <c r="E36" s="666"/>
      <c r="F36" s="712"/>
      <c r="G36" s="665"/>
      <c r="H36" s="275"/>
      <c r="I36" s="665"/>
      <c r="J36" s="665"/>
      <c r="K36" s="667"/>
      <c r="L36" s="324"/>
      <c r="M36" s="320"/>
      <c r="N36" s="323"/>
      <c r="O36" s="323"/>
      <c r="P36" s="727"/>
      <c r="Q36" s="667"/>
      <c r="R36" s="667"/>
      <c r="S36" s="667"/>
      <c r="T36" s="323"/>
      <c r="U36" s="323"/>
      <c r="V36" s="320"/>
      <c r="W36" s="320"/>
      <c r="X36" s="277"/>
      <c r="Y36" s="317"/>
    </row>
    <row r="37" spans="1:25">
      <c r="A37" s="2959">
        <v>4131</v>
      </c>
      <c r="B37" s="2953"/>
      <c r="C37" s="2953" t="s">
        <v>123</v>
      </c>
      <c r="D37" s="2962" t="s">
        <v>672</v>
      </c>
      <c r="E37" s="670" t="s">
        <v>673</v>
      </c>
      <c r="F37" s="687"/>
      <c r="G37" s="687"/>
      <c r="H37" s="746"/>
      <c r="I37" s="674"/>
      <c r="J37" s="674"/>
      <c r="K37" s="728">
        <v>86000</v>
      </c>
      <c r="L37" s="278">
        <f t="shared" ref="L37:N37" si="11">SUM(L38:L39)</f>
        <v>1</v>
      </c>
      <c r="M37" s="676">
        <f t="shared" si="11"/>
        <v>5496</v>
      </c>
      <c r="N37" s="770">
        <f t="shared" si="11"/>
        <v>0.18820000000000001</v>
      </c>
      <c r="O37" s="2958">
        <f>IF(Q37&gt;0,N37,"na")</f>
        <v>0.18820000000000001</v>
      </c>
      <c r="P37" s="675">
        <f t="shared" ref="P37:S37" si="12">SUM(P38:P39)</f>
        <v>2501089321</v>
      </c>
      <c r="Q37" s="675">
        <f t="shared" si="12"/>
        <v>2501089321</v>
      </c>
      <c r="R37" s="675">
        <f t="shared" si="12"/>
        <v>1611854869</v>
      </c>
      <c r="S37" s="675">
        <f t="shared" si="12"/>
        <v>1091344059</v>
      </c>
      <c r="T37" s="770">
        <f t="shared" ref="T37:U39" si="13">IF(Q37=0,0,R37/Q37)</f>
        <v>0.64446113757966028</v>
      </c>
      <c r="U37" s="770">
        <f t="shared" si="13"/>
        <v>0.6770734015755856</v>
      </c>
      <c r="V37" s="680"/>
      <c r="W37" s="680"/>
      <c r="X37" s="277"/>
      <c r="Y37" s="317"/>
    </row>
    <row r="38" spans="1:25" ht="131.4" customHeight="1">
      <c r="A38" s="2949"/>
      <c r="B38" s="2949"/>
      <c r="C38" s="2949"/>
      <c r="D38" s="2949"/>
      <c r="E38" s="670" t="s">
        <v>674</v>
      </c>
      <c r="F38" s="670"/>
      <c r="G38" s="674" t="s">
        <v>675</v>
      </c>
      <c r="H38" s="746"/>
      <c r="I38" s="672" t="s">
        <v>676</v>
      </c>
      <c r="J38" s="729" t="s">
        <v>677</v>
      </c>
      <c r="K38" s="728">
        <v>86000</v>
      </c>
      <c r="L38" s="278">
        <v>0.6</v>
      </c>
      <c r="M38" s="728">
        <v>5496</v>
      </c>
      <c r="N38" s="782">
        <v>8.8300000000000003E-2</v>
      </c>
      <c r="O38" s="2956"/>
      <c r="P38" s="728">
        <v>2200944525</v>
      </c>
      <c r="Q38" s="675">
        <v>2200944525</v>
      </c>
      <c r="R38" s="675">
        <v>1458460636</v>
      </c>
      <c r="S38" s="675">
        <v>1004207826</v>
      </c>
      <c r="T38" s="770">
        <f t="shared" si="13"/>
        <v>0.66265215657809462</v>
      </c>
      <c r="U38" s="770">
        <f t="shared" si="13"/>
        <v>0.68853954725453415</v>
      </c>
      <c r="V38" s="679">
        <v>45313</v>
      </c>
      <c r="W38" s="683">
        <v>45656</v>
      </c>
      <c r="X38" s="277" t="s">
        <v>678</v>
      </c>
      <c r="Y38" s="2948" t="s">
        <v>608</v>
      </c>
    </row>
    <row r="39" spans="1:25" ht="158.4">
      <c r="A39" s="2949"/>
      <c r="B39" s="2949"/>
      <c r="C39" s="2949"/>
      <c r="D39" s="2949"/>
      <c r="E39" s="670" t="s">
        <v>679</v>
      </c>
      <c r="F39" s="670"/>
      <c r="G39" s="670"/>
      <c r="H39" s="437"/>
      <c r="I39" s="672" t="s">
        <v>680</v>
      </c>
      <c r="J39" s="687" t="s">
        <v>681</v>
      </c>
      <c r="K39" s="686">
        <v>1</v>
      </c>
      <c r="L39" s="278">
        <v>0.4</v>
      </c>
      <c r="M39" s="676"/>
      <c r="N39" s="782">
        <v>9.9900000000000003E-2</v>
      </c>
      <c r="O39" s="2956"/>
      <c r="P39" s="728">
        <v>300144796</v>
      </c>
      <c r="Q39" s="675">
        <v>300144796</v>
      </c>
      <c r="R39" s="675">
        <v>153394233</v>
      </c>
      <c r="S39" s="675">
        <v>87136233</v>
      </c>
      <c r="T39" s="770">
        <f t="shared" si="13"/>
        <v>0.51106744159575568</v>
      </c>
      <c r="U39" s="770">
        <f t="shared" si="13"/>
        <v>0.56805416537400077</v>
      </c>
      <c r="V39" s="679">
        <v>45313</v>
      </c>
      <c r="W39" s="683">
        <v>45656</v>
      </c>
      <c r="X39" s="277" t="s">
        <v>682</v>
      </c>
      <c r="Y39" s="2949"/>
    </row>
    <row r="40" spans="1:25">
      <c r="A40" s="666"/>
      <c r="B40" s="663">
        <v>54020040007</v>
      </c>
      <c r="C40" s="663" t="s">
        <v>117</v>
      </c>
      <c r="D40" s="664" t="s">
        <v>683</v>
      </c>
      <c r="E40" s="666"/>
      <c r="F40" s="666"/>
      <c r="G40" s="666"/>
      <c r="H40" s="275"/>
      <c r="I40" s="665"/>
      <c r="J40" s="665"/>
      <c r="K40" s="730"/>
      <c r="L40" s="731"/>
      <c r="M40" s="653"/>
      <c r="N40" s="732"/>
      <c r="O40" s="732"/>
      <c r="P40" s="733"/>
      <c r="Q40" s="734"/>
      <c r="R40" s="734"/>
      <c r="S40" s="734"/>
      <c r="T40" s="732"/>
      <c r="U40" s="732"/>
      <c r="V40" s="653"/>
      <c r="W40" s="653"/>
      <c r="X40" s="672"/>
      <c r="Y40" s="665"/>
    </row>
    <row r="41" spans="1:25">
      <c r="A41" s="2959">
        <v>4131</v>
      </c>
      <c r="B41" s="2953"/>
      <c r="C41" s="2953" t="s">
        <v>123</v>
      </c>
      <c r="D41" s="2962" t="s">
        <v>684</v>
      </c>
      <c r="E41" s="670" t="s">
        <v>685</v>
      </c>
      <c r="F41" s="687"/>
      <c r="G41" s="687"/>
      <c r="H41" s="436"/>
      <c r="I41" s="674"/>
      <c r="J41" s="674"/>
      <c r="K41" s="735">
        <f>K43</f>
        <v>1</v>
      </c>
      <c r="L41" s="736">
        <f>SUM(L42:L43)</f>
        <v>1</v>
      </c>
      <c r="M41" s="674">
        <f t="shared" ref="M41:N41" si="14">SUM(M43)</f>
        <v>0</v>
      </c>
      <c r="N41" s="783">
        <f t="shared" si="14"/>
        <v>0</v>
      </c>
      <c r="O41" s="2974">
        <f>IF(Q41&gt;0,N41,"na")</f>
        <v>0</v>
      </c>
      <c r="P41" s="737">
        <f t="shared" ref="P41:S41" si="15">SUM(P42:P43)</f>
        <v>1525539864</v>
      </c>
      <c r="Q41" s="737">
        <f t="shared" si="15"/>
        <v>1525539864</v>
      </c>
      <c r="R41" s="737">
        <f t="shared" si="15"/>
        <v>0</v>
      </c>
      <c r="S41" s="737">
        <f t="shared" si="15"/>
        <v>0</v>
      </c>
      <c r="T41" s="775">
        <f t="shared" ref="T41:U42" si="16">IF(Q41=0,0,R41/Q41)</f>
        <v>0</v>
      </c>
      <c r="U41" s="775">
        <f t="shared" si="16"/>
        <v>0</v>
      </c>
      <c r="V41" s="687"/>
      <c r="W41" s="687"/>
      <c r="X41" s="672"/>
      <c r="Y41" s="665"/>
    </row>
    <row r="42" spans="1:25" ht="39.6">
      <c r="A42" s="2949"/>
      <c r="B42" s="2949"/>
      <c r="C42" s="2949"/>
      <c r="D42" s="2949"/>
      <c r="E42" s="670" t="s">
        <v>686</v>
      </c>
      <c r="F42" s="687"/>
      <c r="G42" s="674"/>
      <c r="H42" s="437"/>
      <c r="I42" s="674" t="s">
        <v>687</v>
      </c>
      <c r="J42" s="674" t="s">
        <v>687</v>
      </c>
      <c r="K42" s="674">
        <v>1</v>
      </c>
      <c r="L42" s="736">
        <v>0.6</v>
      </c>
      <c r="M42" s="674"/>
      <c r="N42" s="783">
        <v>0</v>
      </c>
      <c r="O42" s="2956"/>
      <c r="P42" s="738">
        <v>1265940000</v>
      </c>
      <c r="Q42" s="738">
        <v>1265940000</v>
      </c>
      <c r="R42" s="737">
        <v>0</v>
      </c>
      <c r="S42" s="737">
        <v>0</v>
      </c>
      <c r="T42" s="775">
        <f t="shared" si="16"/>
        <v>0</v>
      </c>
      <c r="U42" s="775">
        <f t="shared" si="16"/>
        <v>0</v>
      </c>
      <c r="V42" s="739"/>
      <c r="W42" s="740"/>
      <c r="X42" s="672"/>
      <c r="Y42" s="2963" t="s">
        <v>608</v>
      </c>
    </row>
    <row r="43" spans="1:25" ht="66">
      <c r="A43" s="2949"/>
      <c r="B43" s="2949"/>
      <c r="C43" s="2949"/>
      <c r="D43" s="2949"/>
      <c r="E43" s="670" t="s">
        <v>688</v>
      </c>
      <c r="F43" s="687"/>
      <c r="G43" s="674" t="s">
        <v>683</v>
      </c>
      <c r="H43" s="437"/>
      <c r="I43" s="674" t="s">
        <v>689</v>
      </c>
      <c r="J43" s="674" t="s">
        <v>690</v>
      </c>
      <c r="K43" s="735">
        <v>1</v>
      </c>
      <c r="L43" s="736">
        <v>0.4</v>
      </c>
      <c r="M43" s="674"/>
      <c r="N43" s="783">
        <v>0</v>
      </c>
      <c r="O43" s="2956"/>
      <c r="P43" s="738">
        <v>259599864</v>
      </c>
      <c r="Q43" s="738">
        <v>259599864</v>
      </c>
      <c r="R43" s="737">
        <v>0</v>
      </c>
      <c r="S43" s="737">
        <v>0</v>
      </c>
      <c r="T43" s="775">
        <v>0</v>
      </c>
      <c r="U43" s="775">
        <v>0</v>
      </c>
      <c r="V43" s="739"/>
      <c r="W43" s="740"/>
      <c r="X43" s="672"/>
      <c r="Y43" s="2949"/>
    </row>
    <row r="44" spans="1:25">
      <c r="A44" s="741"/>
      <c r="B44" s="663">
        <v>54020040005</v>
      </c>
      <c r="C44" s="663" t="s">
        <v>117</v>
      </c>
      <c r="D44" s="664" t="s">
        <v>691</v>
      </c>
      <c r="E44" s="741"/>
      <c r="F44" s="742"/>
      <c r="G44" s="742"/>
      <c r="H44" s="750"/>
      <c r="I44" s="742"/>
      <c r="J44" s="741"/>
      <c r="K44" s="743"/>
      <c r="L44" s="743"/>
      <c r="M44" s="742"/>
      <c r="N44" s="776"/>
      <c r="O44" s="776"/>
      <c r="P44" s="743"/>
      <c r="Q44" s="743"/>
      <c r="R44" s="743"/>
      <c r="S44" s="743"/>
      <c r="T44" s="776"/>
      <c r="U44" s="776"/>
      <c r="V44" s="742"/>
      <c r="W44" s="742"/>
      <c r="X44" s="744"/>
      <c r="Y44" s="745"/>
    </row>
    <row r="45" spans="1:25" s="761" customFormat="1" ht="13.2">
      <c r="A45" s="2968">
        <v>4131</v>
      </c>
      <c r="B45" s="2968"/>
      <c r="C45" s="2968" t="s">
        <v>123</v>
      </c>
      <c r="D45" s="2964" t="s">
        <v>692</v>
      </c>
      <c r="E45" s="755">
        <v>26004741</v>
      </c>
      <c r="F45" s="756"/>
      <c r="G45" s="754"/>
      <c r="H45" s="757"/>
      <c r="I45" s="754"/>
      <c r="J45" s="753"/>
      <c r="K45" s="758"/>
      <c r="L45" s="777">
        <f>SUM(L46:L49)</f>
        <v>1</v>
      </c>
      <c r="M45" s="754"/>
      <c r="N45" s="777">
        <f>SUM(N46:N49)</f>
        <v>0</v>
      </c>
      <c r="O45" s="2971">
        <f>IF(Q45&gt;0,N45,"na")</f>
        <v>0</v>
      </c>
      <c r="P45" s="785">
        <f t="shared" ref="P45:S45" si="17">SUM(P46:P49)</f>
        <v>5034682054</v>
      </c>
      <c r="Q45" s="785">
        <f t="shared" si="17"/>
        <v>5034682054</v>
      </c>
      <c r="R45" s="758">
        <f t="shared" si="17"/>
        <v>0</v>
      </c>
      <c r="S45" s="758">
        <f t="shared" si="17"/>
        <v>0</v>
      </c>
      <c r="T45" s="777">
        <f t="shared" ref="T45:U49" si="18">IF(Q45=0,0,R45/Q45)</f>
        <v>0</v>
      </c>
      <c r="U45" s="777">
        <f t="shared" si="18"/>
        <v>0</v>
      </c>
      <c r="V45" s="754"/>
      <c r="W45" s="754"/>
      <c r="X45" s="759"/>
      <c r="Y45" s="2967" t="s">
        <v>693</v>
      </c>
    </row>
    <row r="46" spans="1:25" s="761" customFormat="1" ht="52.8">
      <c r="A46" s="2969"/>
      <c r="B46" s="2969"/>
      <c r="C46" s="2969"/>
      <c r="D46" s="2965"/>
      <c r="E46" s="753" t="s">
        <v>694</v>
      </c>
      <c r="F46" s="760"/>
      <c r="G46" s="759" t="s">
        <v>695</v>
      </c>
      <c r="H46" s="762"/>
      <c r="I46" s="763" t="s">
        <v>696</v>
      </c>
      <c r="J46" s="763" t="s">
        <v>697</v>
      </c>
      <c r="K46" s="785">
        <v>145000</v>
      </c>
      <c r="L46" s="777">
        <v>0.4</v>
      </c>
      <c r="M46" s="754"/>
      <c r="N46" s="777">
        <v>0</v>
      </c>
      <c r="O46" s="2972"/>
      <c r="P46" s="785">
        <v>2665211771</v>
      </c>
      <c r="Q46" s="785">
        <v>2665211771</v>
      </c>
      <c r="R46" s="758">
        <v>0</v>
      </c>
      <c r="S46" s="758">
        <v>0</v>
      </c>
      <c r="T46" s="777">
        <f t="shared" si="18"/>
        <v>0</v>
      </c>
      <c r="U46" s="777">
        <f t="shared" si="18"/>
        <v>0</v>
      </c>
      <c r="V46" s="754"/>
      <c r="W46" s="754"/>
      <c r="X46" s="759"/>
      <c r="Y46" s="2965"/>
    </row>
    <row r="47" spans="1:25" s="761" customFormat="1" ht="39.6">
      <c r="A47" s="2969"/>
      <c r="B47" s="2969"/>
      <c r="C47" s="2969"/>
      <c r="D47" s="2965"/>
      <c r="E47" s="753" t="s">
        <v>698</v>
      </c>
      <c r="F47" s="760"/>
      <c r="G47" s="787"/>
      <c r="H47" s="762"/>
      <c r="I47" s="763" t="s">
        <v>699</v>
      </c>
      <c r="J47" s="763" t="s">
        <v>255</v>
      </c>
      <c r="K47" s="754">
        <v>1</v>
      </c>
      <c r="L47" s="777">
        <v>0.1</v>
      </c>
      <c r="M47" s="754"/>
      <c r="N47" s="777">
        <v>0</v>
      </c>
      <c r="O47" s="2972"/>
      <c r="P47" s="785">
        <v>545259857</v>
      </c>
      <c r="Q47" s="785">
        <v>545259857</v>
      </c>
      <c r="R47" s="758">
        <v>0</v>
      </c>
      <c r="S47" s="758">
        <v>0</v>
      </c>
      <c r="T47" s="777">
        <f t="shared" si="18"/>
        <v>0</v>
      </c>
      <c r="U47" s="777">
        <f t="shared" si="18"/>
        <v>0</v>
      </c>
      <c r="V47" s="754"/>
      <c r="W47" s="754"/>
      <c r="X47" s="759"/>
      <c r="Y47" s="2965"/>
    </row>
    <row r="48" spans="1:25" s="761" customFormat="1" ht="52.8">
      <c r="A48" s="2969"/>
      <c r="B48" s="2969"/>
      <c r="C48" s="2969"/>
      <c r="D48" s="2965"/>
      <c r="E48" s="753" t="s">
        <v>700</v>
      </c>
      <c r="F48" s="760"/>
      <c r="G48" s="787"/>
      <c r="H48" s="762"/>
      <c r="I48" s="763" t="s">
        <v>701</v>
      </c>
      <c r="J48" s="763" t="s">
        <v>702</v>
      </c>
      <c r="K48" s="754">
        <v>1200</v>
      </c>
      <c r="L48" s="777">
        <v>0.4</v>
      </c>
      <c r="M48" s="754"/>
      <c r="N48" s="777">
        <v>0</v>
      </c>
      <c r="O48" s="2972"/>
      <c r="P48" s="785">
        <v>1730127764</v>
      </c>
      <c r="Q48" s="785">
        <v>1730127764</v>
      </c>
      <c r="R48" s="758">
        <v>0</v>
      </c>
      <c r="S48" s="758">
        <v>0</v>
      </c>
      <c r="T48" s="777">
        <f t="shared" si="18"/>
        <v>0</v>
      </c>
      <c r="U48" s="777">
        <f t="shared" si="18"/>
        <v>0</v>
      </c>
      <c r="V48" s="754"/>
      <c r="W48" s="754"/>
      <c r="X48" s="759"/>
      <c r="Y48" s="2965"/>
    </row>
    <row r="49" spans="1:25" s="761" customFormat="1" ht="26.4">
      <c r="A49" s="2970"/>
      <c r="B49" s="2970"/>
      <c r="C49" s="2970"/>
      <c r="D49" s="2966"/>
      <c r="E49" s="764" t="s">
        <v>703</v>
      </c>
      <c r="F49" s="766"/>
      <c r="G49" s="788"/>
      <c r="H49" s="767"/>
      <c r="I49" s="789" t="s">
        <v>704</v>
      </c>
      <c r="J49" s="789" t="s">
        <v>255</v>
      </c>
      <c r="K49" s="765">
        <v>1</v>
      </c>
      <c r="L49" s="778">
        <v>0.1</v>
      </c>
      <c r="M49" s="765"/>
      <c r="N49" s="778">
        <v>0</v>
      </c>
      <c r="O49" s="2973"/>
      <c r="P49" s="786">
        <v>94082662</v>
      </c>
      <c r="Q49" s="786">
        <v>94082662</v>
      </c>
      <c r="R49" s="768">
        <v>0</v>
      </c>
      <c r="S49" s="768">
        <v>0</v>
      </c>
      <c r="T49" s="778">
        <f t="shared" si="18"/>
        <v>0</v>
      </c>
      <c r="U49" s="778">
        <f t="shared" si="18"/>
        <v>0</v>
      </c>
      <c r="V49" s="765"/>
      <c r="W49" s="765"/>
      <c r="X49" s="769"/>
      <c r="Y49" s="2966"/>
    </row>
    <row r="50" spans="1:25">
      <c r="A50" s="619"/>
      <c r="B50" s="620"/>
      <c r="C50" s="619"/>
      <c r="D50" s="621"/>
      <c r="E50" s="619"/>
      <c r="F50" s="620"/>
      <c r="G50" s="620"/>
      <c r="H50" s="751"/>
      <c r="I50" s="620"/>
      <c r="J50" s="619"/>
      <c r="K50" s="622"/>
      <c r="L50" s="622"/>
      <c r="M50" s="620"/>
      <c r="N50" s="620"/>
      <c r="O50" s="620"/>
      <c r="P50" s="622"/>
      <c r="Q50" s="622"/>
      <c r="R50" s="622"/>
      <c r="S50" s="622"/>
      <c r="T50" s="779"/>
      <c r="U50" s="779"/>
      <c r="V50" s="620"/>
      <c r="W50" s="620"/>
      <c r="X50" s="623"/>
      <c r="Y50" s="624"/>
    </row>
    <row r="51" spans="1:25">
      <c r="A51" s="625"/>
      <c r="B51" s="625" t="s">
        <v>50</v>
      </c>
      <c r="C51" s="625">
        <f>COUNTIF(C7:C49,"pr")</f>
        <v>8</v>
      </c>
      <c r="D51" s="626"/>
      <c r="E51" s="624" t="s">
        <v>126</v>
      </c>
      <c r="F51" s="625"/>
      <c r="G51" s="625">
        <f>COUNTIF(O11:O49,"na")</f>
        <v>0</v>
      </c>
      <c r="H51" s="752"/>
      <c r="I51" s="624"/>
      <c r="J51" s="625"/>
      <c r="K51" s="627"/>
      <c r="L51" s="627"/>
      <c r="M51" s="624"/>
      <c r="N51" s="625" t="s">
        <v>127</v>
      </c>
      <c r="O51" s="628">
        <f>+AVERAGE(O7:O49)</f>
        <v>0.1467</v>
      </c>
      <c r="P51" s="629">
        <f t="shared" ref="P51:S51" si="19">SUM(P11+P19+P24+P28+P32+P37+P41+P45)</f>
        <v>27192829865</v>
      </c>
      <c r="Q51" s="629">
        <f t="shared" si="19"/>
        <v>27192829865</v>
      </c>
      <c r="R51" s="629">
        <f t="shared" si="19"/>
        <v>9342978515</v>
      </c>
      <c r="S51" s="629">
        <f t="shared" si="19"/>
        <v>6245623989</v>
      </c>
      <c r="T51" s="794">
        <f t="shared" ref="T51" si="20">IF(Q51=0,0,R51/Q51)</f>
        <v>0.3435824282130116</v>
      </c>
      <c r="U51" s="794">
        <f t="shared" ref="U51" si="21">IF(R51=0,0,S51/R51)</f>
        <v>0.66848318006648011</v>
      </c>
      <c r="V51" s="624"/>
      <c r="W51" s="624"/>
      <c r="X51" s="631"/>
      <c r="Y51" s="624"/>
    </row>
    <row r="52" spans="1:25">
      <c r="A52" s="625"/>
      <c r="B52" s="624"/>
      <c r="C52" s="625"/>
      <c r="D52" s="626"/>
      <c r="E52" s="625"/>
      <c r="F52" s="624"/>
      <c r="G52" s="624"/>
      <c r="H52" s="752"/>
      <c r="I52" s="624"/>
      <c r="J52" s="625"/>
      <c r="K52" s="627"/>
      <c r="L52" s="627"/>
      <c r="M52" s="624"/>
      <c r="N52" s="632" t="s">
        <v>133</v>
      </c>
      <c r="O52" s="633">
        <f>COUNTIF(O7:O49,"=0%")</f>
        <v>2</v>
      </c>
      <c r="P52" s="629">
        <v>27192829865</v>
      </c>
      <c r="Q52" s="629">
        <v>27192829865</v>
      </c>
      <c r="R52" s="629">
        <v>9342978515</v>
      </c>
      <c r="S52" s="629">
        <v>6245623989</v>
      </c>
      <c r="T52" s="630"/>
      <c r="U52" s="630"/>
      <c r="V52" s="624"/>
      <c r="W52" s="624"/>
      <c r="X52" s="631"/>
      <c r="Y52" s="624"/>
    </row>
    <row r="53" spans="1:25">
      <c r="A53" s="634"/>
      <c r="B53" s="634"/>
      <c r="C53" s="634"/>
      <c r="D53" s="634"/>
      <c r="E53" s="634"/>
      <c r="F53" s="634"/>
      <c r="G53" s="634"/>
      <c r="H53" s="790"/>
      <c r="I53" s="634"/>
      <c r="J53" s="634"/>
      <c r="K53" s="791"/>
      <c r="L53" s="791"/>
      <c r="M53" s="634"/>
      <c r="N53" s="634"/>
      <c r="O53" s="634"/>
      <c r="P53" s="629"/>
      <c r="Q53" s="629"/>
      <c r="R53" s="629"/>
      <c r="S53" s="629"/>
      <c r="T53" s="792"/>
      <c r="U53" s="792"/>
      <c r="V53" s="634"/>
      <c r="W53" s="634"/>
      <c r="X53" s="634"/>
      <c r="Y53" s="793"/>
    </row>
    <row r="54" spans="1:25">
      <c r="A54" s="634"/>
      <c r="B54" s="634"/>
      <c r="C54" s="634"/>
      <c r="D54" s="634"/>
      <c r="E54" s="634"/>
      <c r="F54" s="634"/>
      <c r="G54" s="634"/>
      <c r="H54" s="790"/>
      <c r="I54" s="634"/>
      <c r="J54" s="634"/>
      <c r="K54" s="791"/>
      <c r="L54" s="791"/>
      <c r="M54" s="634"/>
      <c r="N54" s="634"/>
      <c r="O54" s="792"/>
      <c r="P54" s="634"/>
      <c r="Q54" s="634"/>
      <c r="R54" s="634"/>
      <c r="S54" s="634"/>
      <c r="T54" s="792"/>
      <c r="U54" s="792"/>
      <c r="V54" s="634"/>
      <c r="W54" s="634"/>
      <c r="X54" s="634"/>
      <c r="Y54" s="793"/>
    </row>
    <row r="55" spans="1:25">
      <c r="A55" s="634"/>
      <c r="B55" s="634"/>
      <c r="C55" s="634"/>
      <c r="D55" s="634"/>
      <c r="E55" s="634"/>
      <c r="F55" s="634"/>
      <c r="G55" s="634"/>
      <c r="H55" s="790"/>
      <c r="I55" s="634"/>
      <c r="J55" s="634"/>
      <c r="K55" s="791"/>
      <c r="L55" s="791"/>
      <c r="M55" s="634"/>
      <c r="N55" s="634"/>
      <c r="O55" s="628"/>
      <c r="P55" s="634"/>
      <c r="Q55" s="634"/>
      <c r="R55" s="634"/>
      <c r="S55" s="634"/>
      <c r="T55" s="792"/>
      <c r="U55" s="792"/>
      <c r="V55" s="634"/>
      <c r="W55" s="634"/>
      <c r="X55" s="634"/>
      <c r="Y55" s="793"/>
    </row>
    <row r="56" spans="1:25">
      <c r="A56" s="634"/>
      <c r="B56" s="634"/>
      <c r="C56" s="634"/>
      <c r="D56" s="634"/>
      <c r="E56" s="634"/>
      <c r="F56" s="634"/>
      <c r="G56" s="634"/>
      <c r="H56" s="790"/>
      <c r="I56" s="634"/>
      <c r="J56" s="634"/>
      <c r="K56" s="791"/>
      <c r="L56" s="791"/>
      <c r="M56" s="634"/>
      <c r="N56" s="634"/>
      <c r="O56" s="628"/>
      <c r="P56" s="634"/>
      <c r="Q56" s="634"/>
      <c r="R56" s="634"/>
      <c r="S56" s="634"/>
      <c r="T56" s="792"/>
      <c r="U56" s="792"/>
      <c r="V56" s="634"/>
      <c r="W56" s="634"/>
      <c r="X56" s="634"/>
      <c r="Y56" s="793"/>
    </row>
    <row r="57" spans="1:25">
      <c r="A57" s="634"/>
      <c r="B57" s="634"/>
      <c r="C57" s="634"/>
      <c r="D57" s="634"/>
      <c r="E57" s="634"/>
      <c r="F57" s="634"/>
      <c r="G57" s="634"/>
      <c r="H57" s="634"/>
      <c r="I57" s="634"/>
      <c r="J57" s="634"/>
      <c r="K57" s="791"/>
      <c r="L57" s="791"/>
      <c r="M57" s="634"/>
      <c r="N57" s="634"/>
      <c r="O57" s="634"/>
      <c r="P57" s="634"/>
      <c r="Q57" s="634"/>
      <c r="R57" s="634"/>
      <c r="S57" s="634"/>
      <c r="T57" s="792"/>
      <c r="U57" s="792"/>
      <c r="V57" s="634"/>
      <c r="W57" s="634"/>
      <c r="X57" s="634"/>
      <c r="Y57" s="793"/>
    </row>
    <row r="58" spans="1:25">
      <c r="A58" s="634"/>
      <c r="B58" s="634"/>
      <c r="C58" s="634"/>
      <c r="D58" s="634"/>
      <c r="E58" s="634"/>
      <c r="F58" s="634"/>
      <c r="G58" s="634"/>
      <c r="H58" s="634"/>
      <c r="I58" s="634"/>
      <c r="J58" s="634"/>
      <c r="K58" s="791"/>
      <c r="L58" s="791"/>
      <c r="M58" s="634"/>
      <c r="N58" s="634"/>
      <c r="O58" s="634"/>
      <c r="P58" s="634"/>
      <c r="Q58" s="634"/>
      <c r="R58" s="634"/>
      <c r="S58" s="634"/>
      <c r="T58" s="792"/>
      <c r="U58" s="792"/>
      <c r="V58" s="634"/>
      <c r="W58" s="634"/>
      <c r="X58" s="634"/>
      <c r="Y58" s="793"/>
    </row>
  </sheetData>
  <autoFilter ref="A5:Y6" xr:uid="{00000000-0009-0000-0000-000006000000}"/>
  <mergeCells count="79">
    <mergeCell ref="A24:A26"/>
    <mergeCell ref="A11:A17"/>
    <mergeCell ref="B11:B17"/>
    <mergeCell ref="A45:A49"/>
    <mergeCell ref="B45:B49"/>
    <mergeCell ref="B32:B35"/>
    <mergeCell ref="A32:A35"/>
    <mergeCell ref="A28:A30"/>
    <mergeCell ref="B28:B30"/>
    <mergeCell ref="A41:A43"/>
    <mergeCell ref="B41:B43"/>
    <mergeCell ref="A19:A21"/>
    <mergeCell ref="B19:B21"/>
    <mergeCell ref="Y42:Y43"/>
    <mergeCell ref="D45:D49"/>
    <mergeCell ref="Y45:Y49"/>
    <mergeCell ref="C45:C49"/>
    <mergeCell ref="O45:O49"/>
    <mergeCell ref="C41:C43"/>
    <mergeCell ref="D41:D43"/>
    <mergeCell ref="O41:O43"/>
    <mergeCell ref="C32:C35"/>
    <mergeCell ref="D32:D35"/>
    <mergeCell ref="O32:O35"/>
    <mergeCell ref="Y33:Y35"/>
    <mergeCell ref="A37:A39"/>
    <mergeCell ref="B37:B39"/>
    <mergeCell ref="C37:C39"/>
    <mergeCell ref="D37:D39"/>
    <mergeCell ref="O37:O39"/>
    <mergeCell ref="Y38:Y39"/>
    <mergeCell ref="Y29:Y30"/>
    <mergeCell ref="Y24:Y26"/>
    <mergeCell ref="C11:C17"/>
    <mergeCell ref="D11:D17"/>
    <mergeCell ref="O11:O17"/>
    <mergeCell ref="C19:C21"/>
    <mergeCell ref="D19:D21"/>
    <mergeCell ref="O19:O21"/>
    <mergeCell ref="Y20:Y21"/>
    <mergeCell ref="Y11:Y17"/>
    <mergeCell ref="C24:C26"/>
    <mergeCell ref="D24:D26"/>
    <mergeCell ref="O24:O26"/>
    <mergeCell ref="C28:C30"/>
    <mergeCell ref="D28:D30"/>
    <mergeCell ref="O28:O30"/>
    <mergeCell ref="C3:R3"/>
    <mergeCell ref="S3:U3"/>
    <mergeCell ref="V3:W3"/>
    <mergeCell ref="A4:Y4"/>
    <mergeCell ref="M5:M6"/>
    <mergeCell ref="I5:I6"/>
    <mergeCell ref="J5:J6"/>
    <mergeCell ref="K5:K6"/>
    <mergeCell ref="L5:L6"/>
    <mergeCell ref="N5:N6"/>
    <mergeCell ref="X5:X6"/>
    <mergeCell ref="P5:P6"/>
    <mergeCell ref="W5:W6"/>
    <mergeCell ref="U5:U6"/>
    <mergeCell ref="V5:V6"/>
    <mergeCell ref="T5:T6"/>
    <mergeCell ref="H5:H6"/>
    <mergeCell ref="O5:O6"/>
    <mergeCell ref="A1:X1"/>
    <mergeCell ref="D5:D6"/>
    <mergeCell ref="E5:E6"/>
    <mergeCell ref="F5:F6"/>
    <mergeCell ref="R5:R6"/>
    <mergeCell ref="S5:S6"/>
    <mergeCell ref="A5:A6"/>
    <mergeCell ref="Q5:Q6"/>
    <mergeCell ref="B5:B6"/>
    <mergeCell ref="C5:C6"/>
    <mergeCell ref="G5:G6"/>
    <mergeCell ref="A2:Y2"/>
    <mergeCell ref="Y5:Y6"/>
    <mergeCell ref="A3:B3"/>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42"/>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2.88671875" style="3" bestFit="1" customWidth="1"/>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56</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869" t="s">
        <v>88</v>
      </c>
      <c r="B5" s="2869" t="s">
        <v>4</v>
      </c>
      <c r="C5" s="2869" t="s">
        <v>3</v>
      </c>
      <c r="D5" s="2869" t="s">
        <v>108</v>
      </c>
      <c r="E5" s="2869" t="s">
        <v>2</v>
      </c>
      <c r="F5" s="2869" t="s">
        <v>89</v>
      </c>
      <c r="G5" s="2869" t="s">
        <v>106</v>
      </c>
      <c r="H5" s="2869" t="s">
        <v>107</v>
      </c>
      <c r="I5" s="2869" t="s">
        <v>8</v>
      </c>
      <c r="J5" s="2869" t="s">
        <v>9</v>
      </c>
      <c r="K5" s="2869" t="s">
        <v>10</v>
      </c>
      <c r="L5" s="2869" t="s">
        <v>11</v>
      </c>
      <c r="M5" s="2867" t="s">
        <v>100</v>
      </c>
      <c r="N5" s="2868" t="s">
        <v>12</v>
      </c>
      <c r="O5" s="2868" t="s">
        <v>86</v>
      </c>
      <c r="P5" s="2871" t="s">
        <v>1</v>
      </c>
      <c r="Q5" s="2868" t="s">
        <v>13</v>
      </c>
      <c r="R5" s="2868" t="s">
        <v>14</v>
      </c>
      <c r="S5" s="2868" t="s">
        <v>16</v>
      </c>
      <c r="T5" s="2868" t="s">
        <v>15</v>
      </c>
      <c r="U5" s="2868" t="s">
        <v>103</v>
      </c>
      <c r="V5" s="2871" t="s">
        <v>6</v>
      </c>
      <c r="W5" s="2871" t="s">
        <v>7</v>
      </c>
      <c r="X5" s="2868" t="s">
        <v>0</v>
      </c>
      <c r="Y5" s="2867" t="s">
        <v>90</v>
      </c>
    </row>
    <row r="6" spans="1:25" ht="42.75" customHeight="1">
      <c r="A6" s="2869"/>
      <c r="B6" s="2869"/>
      <c r="C6" s="2869"/>
      <c r="D6" s="2869"/>
      <c r="E6" s="2869"/>
      <c r="F6" s="2869"/>
      <c r="G6" s="2869"/>
      <c r="H6" s="2869"/>
      <c r="I6" s="2869"/>
      <c r="J6" s="2869"/>
      <c r="K6" s="2869"/>
      <c r="L6" s="2869"/>
      <c r="M6" s="2867"/>
      <c r="N6" s="2868"/>
      <c r="O6" s="2868"/>
      <c r="P6" s="2871"/>
      <c r="Q6" s="2868"/>
      <c r="R6" s="2868"/>
      <c r="S6" s="2868"/>
      <c r="T6" s="2868"/>
      <c r="U6" s="2868"/>
      <c r="V6" s="2871"/>
      <c r="W6" s="2871"/>
      <c r="X6" s="2868"/>
      <c r="Y6" s="2867"/>
    </row>
    <row r="7" spans="1:25" ht="15.6">
      <c r="A7" s="325"/>
      <c r="B7" s="326">
        <v>51</v>
      </c>
      <c r="C7" s="326" t="s">
        <v>114</v>
      </c>
      <c r="D7" s="327" t="s">
        <v>148</v>
      </c>
      <c r="E7" s="328"/>
      <c r="F7" s="325"/>
      <c r="G7" s="325"/>
      <c r="H7" s="326"/>
      <c r="I7" s="329"/>
      <c r="J7" s="329"/>
      <c r="K7" s="326"/>
      <c r="L7" s="326"/>
      <c r="M7" s="330"/>
      <c r="N7" s="331"/>
      <c r="O7" s="332"/>
      <c r="P7" s="333"/>
      <c r="Q7" s="333"/>
      <c r="R7" s="333"/>
      <c r="S7" s="333"/>
      <c r="T7" s="333"/>
      <c r="U7" s="333"/>
      <c r="V7" s="333"/>
      <c r="W7" s="333"/>
      <c r="X7" s="333"/>
      <c r="Y7" s="334"/>
    </row>
    <row r="8" spans="1:25" ht="15.6">
      <c r="A8" s="335"/>
      <c r="B8" s="336">
        <v>5101</v>
      </c>
      <c r="C8" s="336" t="s">
        <v>115</v>
      </c>
      <c r="D8" s="337" t="s">
        <v>149</v>
      </c>
      <c r="E8" s="337"/>
      <c r="F8" s="335"/>
      <c r="G8" s="335"/>
      <c r="H8" s="336"/>
      <c r="I8" s="338"/>
      <c r="J8" s="338"/>
      <c r="K8" s="336"/>
      <c r="L8" s="336"/>
      <c r="M8" s="319"/>
      <c r="N8" s="318"/>
      <c r="O8" s="277"/>
      <c r="P8" s="320"/>
      <c r="Q8" s="320"/>
      <c r="R8" s="320"/>
      <c r="S8" s="320"/>
      <c r="T8" s="320"/>
      <c r="U8" s="320"/>
      <c r="V8" s="320"/>
      <c r="W8" s="320"/>
      <c r="X8" s="320"/>
      <c r="Y8" s="322"/>
    </row>
    <row r="9" spans="1:25">
      <c r="A9" s="321"/>
      <c r="B9" s="339">
        <v>5101001</v>
      </c>
      <c r="C9" s="339" t="s">
        <v>116</v>
      </c>
      <c r="D9" s="340" t="s">
        <v>150</v>
      </c>
      <c r="E9" s="340"/>
      <c r="F9" s="321"/>
      <c r="G9" s="339"/>
      <c r="H9" s="339"/>
      <c r="I9" s="340"/>
      <c r="J9" s="340"/>
      <c r="K9" s="339"/>
      <c r="L9" s="339"/>
      <c r="M9" s="319"/>
      <c r="N9" s="341"/>
      <c r="O9" s="316"/>
      <c r="P9" s="317"/>
      <c r="Q9" s="320"/>
      <c r="R9" s="320"/>
      <c r="S9" s="320"/>
      <c r="T9" s="320"/>
      <c r="U9" s="320"/>
      <c r="V9" s="320"/>
      <c r="W9" s="320"/>
      <c r="X9" s="320"/>
      <c r="Y9" s="322"/>
    </row>
    <row r="10" spans="1:25">
      <c r="A10" s="320"/>
      <c r="B10" s="322">
        <v>51010010043</v>
      </c>
      <c r="C10" s="322" t="s">
        <v>117</v>
      </c>
      <c r="D10" s="276" t="s">
        <v>151</v>
      </c>
      <c r="E10" s="276"/>
      <c r="F10" s="322"/>
      <c r="G10" s="275"/>
      <c r="H10" s="275"/>
      <c r="I10" s="276"/>
      <c r="J10" s="276"/>
      <c r="K10" s="275"/>
      <c r="L10" s="275"/>
      <c r="M10" s="319"/>
      <c r="N10" s="324"/>
      <c r="O10" s="278"/>
      <c r="P10" s="317"/>
      <c r="Q10" s="320"/>
      <c r="R10" s="320"/>
      <c r="S10" s="320"/>
      <c r="T10" s="323"/>
      <c r="U10" s="323"/>
      <c r="V10" s="342"/>
      <c r="W10" s="342"/>
      <c r="X10" s="320"/>
      <c r="Y10" s="322"/>
    </row>
    <row r="11" spans="1:25">
      <c r="A11" s="2991">
        <v>4132</v>
      </c>
      <c r="B11" s="2991"/>
      <c r="C11" s="2984" t="s">
        <v>123</v>
      </c>
      <c r="D11" s="2985" t="s">
        <v>153</v>
      </c>
      <c r="E11" s="74" t="s">
        <v>152</v>
      </c>
      <c r="F11" s="93"/>
      <c r="G11" s="75"/>
      <c r="H11" s="93"/>
      <c r="I11" s="153"/>
      <c r="J11" s="153"/>
      <c r="K11" s="93">
        <f>K12</f>
        <v>1500</v>
      </c>
      <c r="L11" s="283">
        <f>+L12</f>
        <v>1</v>
      </c>
      <c r="M11" s="267">
        <f>M12</f>
        <v>760</v>
      </c>
      <c r="N11" s="99">
        <f>N12</f>
        <v>0.50600000000000001</v>
      </c>
      <c r="O11" s="2996">
        <f>IF(Q11&gt;0,N11,"NA")</f>
        <v>0.50600000000000001</v>
      </c>
      <c r="P11" s="151">
        <f>P12</f>
        <v>167640000</v>
      </c>
      <c r="Q11" s="151">
        <f>Q12</f>
        <v>746303178</v>
      </c>
      <c r="R11" s="151">
        <f>R12</f>
        <v>37805500</v>
      </c>
      <c r="S11" s="151">
        <f>S12</f>
        <v>19576500</v>
      </c>
      <c r="T11" s="77">
        <f>+IF(Q11=0,0,R11/Q11)</f>
        <v>5.0657026680918142E-2</v>
      </c>
      <c r="U11" s="77">
        <f>+IF(R11=0,0,S11/R11)</f>
        <v>0.51782148100144154</v>
      </c>
      <c r="V11" s="287"/>
      <c r="W11" s="268"/>
      <c r="X11" s="75"/>
      <c r="Y11" s="2988" t="s">
        <v>155</v>
      </c>
    </row>
    <row r="12" spans="1:25" ht="118.8">
      <c r="A12" s="2991"/>
      <c r="B12" s="2991"/>
      <c r="C12" s="2984"/>
      <c r="D12" s="2985"/>
      <c r="E12" s="153" t="s">
        <v>285</v>
      </c>
      <c r="F12" s="92"/>
      <c r="G12" s="115" t="s">
        <v>151</v>
      </c>
      <c r="H12" s="93"/>
      <c r="I12" s="115" t="s">
        <v>323</v>
      </c>
      <c r="J12" s="115" t="s">
        <v>154</v>
      </c>
      <c r="K12" s="92">
        <v>1500</v>
      </c>
      <c r="L12" s="283">
        <v>1</v>
      </c>
      <c r="M12" s="281">
        <v>760</v>
      </c>
      <c r="N12" s="99">
        <v>0.50600000000000001</v>
      </c>
      <c r="O12" s="2998"/>
      <c r="P12" s="151">
        <v>167640000</v>
      </c>
      <c r="Q12" s="151">
        <v>746303178</v>
      </c>
      <c r="R12" s="151">
        <v>37805500</v>
      </c>
      <c r="S12" s="151">
        <v>19576500</v>
      </c>
      <c r="T12" s="77">
        <f>+IF(Q12=0,0,R12/Q12)</f>
        <v>5.0657026680918142E-2</v>
      </c>
      <c r="U12" s="77">
        <f>+IF(R12=0,0,S12/R12)</f>
        <v>0.51782148100144154</v>
      </c>
      <c r="V12" s="896">
        <v>45325</v>
      </c>
      <c r="W12" s="897">
        <v>45473</v>
      </c>
      <c r="X12" s="270" t="s">
        <v>380</v>
      </c>
      <c r="Y12" s="2989"/>
    </row>
    <row r="13" spans="1:25">
      <c r="A13" s="320"/>
      <c r="B13" s="322">
        <v>51010010049</v>
      </c>
      <c r="C13" s="322" t="s">
        <v>117</v>
      </c>
      <c r="D13" s="276" t="s">
        <v>156</v>
      </c>
      <c r="E13" s="105"/>
      <c r="F13" s="72"/>
      <c r="G13" s="116"/>
      <c r="H13" s="116"/>
      <c r="I13" s="105"/>
      <c r="J13" s="105"/>
      <c r="K13" s="116"/>
      <c r="L13" s="116"/>
      <c r="M13" s="78"/>
      <c r="N13" s="288"/>
      <c r="O13" s="289"/>
      <c r="P13" s="91"/>
      <c r="Q13" s="91"/>
      <c r="R13" s="91"/>
      <c r="S13" s="91"/>
      <c r="T13" s="220"/>
      <c r="U13" s="220"/>
      <c r="V13" s="290"/>
      <c r="W13" s="290"/>
      <c r="X13" s="91"/>
      <c r="Y13" s="72"/>
    </row>
    <row r="14" spans="1:25">
      <c r="A14" s="2991">
        <v>4132</v>
      </c>
      <c r="B14" s="2984"/>
      <c r="C14" s="2984" t="s">
        <v>123</v>
      </c>
      <c r="D14" s="2985" t="s">
        <v>324</v>
      </c>
      <c r="E14" s="74" t="s">
        <v>157</v>
      </c>
      <c r="F14" s="92"/>
      <c r="G14" s="115"/>
      <c r="H14" s="92"/>
      <c r="I14" s="115"/>
      <c r="J14" s="115"/>
      <c r="K14" s="92">
        <f>+K16</f>
        <v>1</v>
      </c>
      <c r="L14" s="283">
        <f>+L15+L16</f>
        <v>1</v>
      </c>
      <c r="M14" s="267">
        <f>M15</f>
        <v>0</v>
      </c>
      <c r="N14" s="99">
        <f>N15+N16</f>
        <v>0</v>
      </c>
      <c r="O14" s="2996">
        <f>IF(Q14&gt;0,N14,"na")</f>
        <v>0</v>
      </c>
      <c r="P14" s="151">
        <f>P15+P16</f>
        <v>450000000</v>
      </c>
      <c r="Q14" s="151">
        <f>Q15+Q16</f>
        <v>450000000</v>
      </c>
      <c r="R14" s="151">
        <f>R15+R16</f>
        <v>230452500</v>
      </c>
      <c r="S14" s="151">
        <f>S15+S16</f>
        <v>112261500</v>
      </c>
      <c r="T14" s="77">
        <f t="shared" ref="T14:U16" si="0">+IF(Q14=0,0,R14/Q14)</f>
        <v>0.51211666666666666</v>
      </c>
      <c r="U14" s="77">
        <f t="shared" si="0"/>
        <v>0.48713509291502588</v>
      </c>
      <c r="V14" s="287"/>
      <c r="W14" s="268"/>
      <c r="X14" s="91"/>
      <c r="Y14" s="2988" t="s">
        <v>155</v>
      </c>
    </row>
    <row r="15" spans="1:25" ht="66">
      <c r="A15" s="2991"/>
      <c r="B15" s="2984"/>
      <c r="C15" s="2984"/>
      <c r="D15" s="2985"/>
      <c r="E15" s="153" t="s">
        <v>286</v>
      </c>
      <c r="F15" s="2993"/>
      <c r="G15" s="115"/>
      <c r="H15" s="92"/>
      <c r="I15" s="115" t="s">
        <v>158</v>
      </c>
      <c r="J15" s="95" t="s">
        <v>159</v>
      </c>
      <c r="K15" s="142">
        <v>1</v>
      </c>
      <c r="L15" s="283">
        <v>0.17</v>
      </c>
      <c r="M15" s="78">
        <v>0</v>
      </c>
      <c r="N15" s="99">
        <v>0</v>
      </c>
      <c r="O15" s="2997"/>
      <c r="P15" s="151">
        <v>141512000</v>
      </c>
      <c r="Q15" s="151">
        <v>141512000</v>
      </c>
      <c r="R15" s="151">
        <v>0</v>
      </c>
      <c r="S15" s="151">
        <v>0</v>
      </c>
      <c r="T15" s="77">
        <f t="shared" si="0"/>
        <v>0</v>
      </c>
      <c r="U15" s="77">
        <f t="shared" si="0"/>
        <v>0</v>
      </c>
      <c r="V15" s="282"/>
      <c r="W15" s="282"/>
      <c r="X15" s="207"/>
      <c r="Y15" s="2989"/>
    </row>
    <row r="16" spans="1:25" ht="52.8">
      <c r="A16" s="2991"/>
      <c r="B16" s="2984"/>
      <c r="C16" s="2984"/>
      <c r="D16" s="2985"/>
      <c r="E16" s="153" t="s">
        <v>287</v>
      </c>
      <c r="F16" s="2989"/>
      <c r="G16" s="115" t="s">
        <v>160</v>
      </c>
      <c r="H16" s="92"/>
      <c r="I16" s="115" t="s">
        <v>161</v>
      </c>
      <c r="J16" s="95" t="s">
        <v>139</v>
      </c>
      <c r="K16" s="142">
        <v>1</v>
      </c>
      <c r="L16" s="283">
        <v>0.83</v>
      </c>
      <c r="M16" s="78">
        <v>0</v>
      </c>
      <c r="N16" s="99">
        <v>0</v>
      </c>
      <c r="O16" s="2998"/>
      <c r="P16" s="151">
        <v>308488000</v>
      </c>
      <c r="Q16" s="151">
        <v>308488000</v>
      </c>
      <c r="R16" s="151">
        <v>230452500</v>
      </c>
      <c r="S16" s="151">
        <v>112261500</v>
      </c>
      <c r="T16" s="77">
        <f t="shared" si="0"/>
        <v>0.74703878270791735</v>
      </c>
      <c r="U16" s="77">
        <f t="shared" si="0"/>
        <v>0.48713509291502588</v>
      </c>
      <c r="V16" s="282">
        <v>45328</v>
      </c>
      <c r="W16" s="282">
        <v>45657</v>
      </c>
      <c r="X16" s="343" t="s">
        <v>381</v>
      </c>
      <c r="Y16" s="2989"/>
    </row>
    <row r="17" spans="1:25" ht="15.6">
      <c r="A17" s="335"/>
      <c r="B17" s="336">
        <v>52</v>
      </c>
      <c r="C17" s="336" t="s">
        <v>114</v>
      </c>
      <c r="D17" s="338" t="s">
        <v>162</v>
      </c>
      <c r="E17" s="86"/>
      <c r="F17" s="84"/>
      <c r="G17" s="84"/>
      <c r="H17" s="85"/>
      <c r="I17" s="145"/>
      <c r="J17" s="145"/>
      <c r="K17" s="85"/>
      <c r="L17" s="85"/>
      <c r="M17" s="91"/>
      <c r="N17" s="291"/>
      <c r="O17" s="77"/>
      <c r="P17" s="91"/>
      <c r="Q17" s="91"/>
      <c r="R17" s="91"/>
      <c r="S17" s="91"/>
      <c r="T17" s="220"/>
      <c r="U17" s="220"/>
      <c r="V17" s="292"/>
      <c r="W17" s="292"/>
      <c r="X17" s="91"/>
      <c r="Y17" s="72"/>
    </row>
    <row r="18" spans="1:25" ht="15.6">
      <c r="A18" s="335"/>
      <c r="B18" s="336">
        <v>5203</v>
      </c>
      <c r="C18" s="336" t="s">
        <v>115</v>
      </c>
      <c r="D18" s="337" t="s">
        <v>163</v>
      </c>
      <c r="E18" s="86"/>
      <c r="F18" s="84"/>
      <c r="G18" s="84"/>
      <c r="H18" s="85"/>
      <c r="I18" s="145"/>
      <c r="J18" s="145"/>
      <c r="K18" s="85"/>
      <c r="L18" s="85"/>
      <c r="M18" s="91"/>
      <c r="N18" s="291"/>
      <c r="O18" s="77"/>
      <c r="P18" s="91"/>
      <c r="Q18" s="91"/>
      <c r="R18" s="91"/>
      <c r="S18" s="91"/>
      <c r="T18" s="220"/>
      <c r="U18" s="220"/>
      <c r="V18" s="292"/>
      <c r="W18" s="292"/>
      <c r="X18" s="91"/>
      <c r="Y18" s="72"/>
    </row>
    <row r="19" spans="1:25">
      <c r="A19" s="321"/>
      <c r="B19" s="339">
        <v>5203007</v>
      </c>
      <c r="C19" s="339" t="s">
        <v>116</v>
      </c>
      <c r="D19" s="340" t="s">
        <v>164</v>
      </c>
      <c r="E19" s="90"/>
      <c r="F19" s="89"/>
      <c r="G19" s="146"/>
      <c r="H19" s="146"/>
      <c r="I19" s="90"/>
      <c r="J19" s="90"/>
      <c r="K19" s="146"/>
      <c r="L19" s="146"/>
      <c r="M19" s="91"/>
      <c r="N19" s="291"/>
      <c r="O19" s="77"/>
      <c r="P19" s="91"/>
      <c r="Q19" s="91"/>
      <c r="R19" s="91"/>
      <c r="S19" s="91"/>
      <c r="T19" s="220"/>
      <c r="U19" s="220"/>
      <c r="V19" s="274"/>
      <c r="W19" s="274"/>
      <c r="X19" s="91"/>
      <c r="Y19" s="72"/>
    </row>
    <row r="20" spans="1:25">
      <c r="A20" s="320"/>
      <c r="B20" s="322">
        <v>52030070008</v>
      </c>
      <c r="C20" s="322" t="s">
        <v>117</v>
      </c>
      <c r="D20" s="276" t="s">
        <v>165</v>
      </c>
      <c r="E20" s="116"/>
      <c r="F20" s="72"/>
      <c r="G20" s="116"/>
      <c r="H20" s="116"/>
      <c r="I20" s="105"/>
      <c r="J20" s="105"/>
      <c r="K20" s="116"/>
      <c r="L20" s="116"/>
      <c r="M20" s="91"/>
      <c r="N20" s="291"/>
      <c r="O20" s="77"/>
      <c r="P20" s="91"/>
      <c r="Q20" s="91"/>
      <c r="R20" s="91"/>
      <c r="S20" s="91"/>
      <c r="T20" s="220"/>
      <c r="U20" s="220"/>
      <c r="V20" s="290"/>
      <c r="W20" s="290"/>
      <c r="X20" s="91"/>
      <c r="Y20" s="72"/>
    </row>
    <row r="21" spans="1:25">
      <c r="A21" s="2991">
        <v>4132</v>
      </c>
      <c r="B21" s="2984"/>
      <c r="C21" s="2984" t="s">
        <v>123</v>
      </c>
      <c r="D21" s="2985" t="s">
        <v>382</v>
      </c>
      <c r="E21" s="142" t="s">
        <v>383</v>
      </c>
      <c r="F21" s="281"/>
      <c r="G21" s="75"/>
      <c r="H21" s="92"/>
      <c r="I21" s="115"/>
      <c r="J21" s="115"/>
      <c r="K21" s="92">
        <f>K22</f>
        <v>40</v>
      </c>
      <c r="L21" s="283">
        <f>+L22</f>
        <v>1</v>
      </c>
      <c r="M21" s="267">
        <f>M22</f>
        <v>2</v>
      </c>
      <c r="N21" s="99">
        <f>N22</f>
        <v>0.05</v>
      </c>
      <c r="O21" s="2996">
        <f>IF(Q21&gt;0,N21,"NA")</f>
        <v>0.05</v>
      </c>
      <c r="P21" s="151">
        <f>P22</f>
        <v>1850000000</v>
      </c>
      <c r="Q21" s="151">
        <f>Q22</f>
        <v>1850000000</v>
      </c>
      <c r="R21" s="151">
        <f>R22</f>
        <v>252625000</v>
      </c>
      <c r="S21" s="151">
        <f>S22</f>
        <v>90069500</v>
      </c>
      <c r="T21" s="77">
        <f>+IF(Q21=0,0,R21/Q21)</f>
        <v>0.13655405405405405</v>
      </c>
      <c r="U21" s="77">
        <f>+IF(R21=0,0,S21/R21)</f>
        <v>0.35653438891637801</v>
      </c>
      <c r="V21" s="287"/>
      <c r="W21" s="268"/>
      <c r="X21" s="91"/>
      <c r="Y21" s="2988" t="s">
        <v>155</v>
      </c>
    </row>
    <row r="22" spans="1:25" ht="132">
      <c r="A22" s="2991"/>
      <c r="B22" s="2984"/>
      <c r="C22" s="2984"/>
      <c r="D22" s="2985"/>
      <c r="E22" s="74" t="s">
        <v>384</v>
      </c>
      <c r="F22" s="281"/>
      <c r="G22" s="95" t="s">
        <v>165</v>
      </c>
      <c r="H22" s="92"/>
      <c r="I22" s="115" t="s">
        <v>385</v>
      </c>
      <c r="J22" s="115" t="s">
        <v>166</v>
      </c>
      <c r="K22" s="92">
        <v>40</v>
      </c>
      <c r="L22" s="283">
        <v>1</v>
      </c>
      <c r="M22" s="281">
        <v>2</v>
      </c>
      <c r="N22" s="99">
        <v>0.05</v>
      </c>
      <c r="O22" s="2998"/>
      <c r="P22" s="151">
        <v>1850000000</v>
      </c>
      <c r="Q22" s="151">
        <v>1850000000</v>
      </c>
      <c r="R22" s="151">
        <v>252625000</v>
      </c>
      <c r="S22" s="151">
        <v>90069500</v>
      </c>
      <c r="T22" s="77">
        <f>+IF(Q22=0,0,R22/Q22)</f>
        <v>0.13655405405405405</v>
      </c>
      <c r="U22" s="77">
        <f>+IF(R22=0,0,S22/R22)</f>
        <v>0.35653438891637801</v>
      </c>
      <c r="V22" s="896">
        <v>45339</v>
      </c>
      <c r="W22" s="897">
        <v>45657</v>
      </c>
      <c r="X22" s="207" t="s">
        <v>386</v>
      </c>
      <c r="Y22" s="2989"/>
    </row>
    <row r="23" spans="1:25">
      <c r="A23" s="2991">
        <v>4132</v>
      </c>
      <c r="B23" s="275">
        <v>52030070010</v>
      </c>
      <c r="C23" s="275" t="s">
        <v>117</v>
      </c>
      <c r="D23" s="276" t="s">
        <v>167</v>
      </c>
      <c r="E23" s="154"/>
      <c r="F23" s="94"/>
      <c r="G23" s="73"/>
      <c r="H23" s="91"/>
      <c r="I23" s="293"/>
      <c r="J23" s="293"/>
      <c r="K23" s="72"/>
      <c r="L23" s="91"/>
      <c r="M23" s="91"/>
      <c r="N23" s="291"/>
      <c r="O23" s="77"/>
      <c r="P23" s="91"/>
      <c r="Q23" s="91"/>
      <c r="R23" s="91"/>
      <c r="S23" s="91"/>
      <c r="T23" s="220"/>
      <c r="U23" s="220"/>
      <c r="V23" s="294"/>
      <c r="W23" s="294"/>
      <c r="X23" s="91"/>
      <c r="Y23" s="72"/>
    </row>
    <row r="24" spans="1:25">
      <c r="A24" s="2991"/>
      <c r="B24" s="2991"/>
      <c r="C24" s="2991" t="s">
        <v>123</v>
      </c>
      <c r="D24" s="2985" t="s">
        <v>325</v>
      </c>
      <c r="E24" s="74" t="s">
        <v>168</v>
      </c>
      <c r="F24" s="92"/>
      <c r="G24" s="95"/>
      <c r="H24" s="92"/>
      <c r="I24" s="295"/>
      <c r="J24" s="295"/>
      <c r="K24" s="93">
        <f>K25</f>
        <v>2</v>
      </c>
      <c r="L24" s="283">
        <f>+L25</f>
        <v>1</v>
      </c>
      <c r="M24" s="267">
        <f>M25</f>
        <v>0</v>
      </c>
      <c r="N24" s="99">
        <f>N25</f>
        <v>2E-3</v>
      </c>
      <c r="O24" s="2996">
        <f>IF(Q24&gt;0,N24,"NA")</f>
        <v>2E-3</v>
      </c>
      <c r="P24" s="151">
        <f>P25</f>
        <v>350000000</v>
      </c>
      <c r="Q24" s="151">
        <f>Q25</f>
        <v>350000000</v>
      </c>
      <c r="R24" s="151">
        <f>R25</f>
        <v>15693000</v>
      </c>
      <c r="S24" s="151">
        <f>S25</f>
        <v>5231000</v>
      </c>
      <c r="T24" s="77">
        <f>+IF(Q24=0,0,R24/Q24)</f>
        <v>4.483714285714286E-2</v>
      </c>
      <c r="U24" s="77">
        <f>+IF(R24=0,0,S24/R24)</f>
        <v>0.33333333333333331</v>
      </c>
      <c r="V24" s="287"/>
      <c r="W24" s="268"/>
      <c r="X24" s="91"/>
      <c r="Y24" s="2988" t="s">
        <v>169</v>
      </c>
    </row>
    <row r="25" spans="1:25" ht="66">
      <c r="A25" s="2991"/>
      <c r="B25" s="2991"/>
      <c r="C25" s="2991"/>
      <c r="D25" s="2985"/>
      <c r="E25" s="153" t="s">
        <v>288</v>
      </c>
      <c r="F25" s="92"/>
      <c r="G25" s="115" t="s">
        <v>167</v>
      </c>
      <c r="H25" s="92"/>
      <c r="I25" s="295" t="s">
        <v>326</v>
      </c>
      <c r="J25" s="295" t="s">
        <v>170</v>
      </c>
      <c r="K25" s="92">
        <v>2</v>
      </c>
      <c r="L25" s="283">
        <v>1</v>
      </c>
      <c r="M25" s="281">
        <v>0</v>
      </c>
      <c r="N25" s="99">
        <v>2E-3</v>
      </c>
      <c r="O25" s="2998"/>
      <c r="P25" s="151">
        <v>350000000</v>
      </c>
      <c r="Q25" s="151">
        <v>350000000</v>
      </c>
      <c r="R25" s="151">
        <v>15693000</v>
      </c>
      <c r="S25" s="151">
        <v>5231000</v>
      </c>
      <c r="T25" s="77">
        <f>+IF(Q25=0,0,R25/Q25)</f>
        <v>4.483714285714286E-2</v>
      </c>
      <c r="U25" s="77">
        <f>+IF(R25=0,0,S25/R25)</f>
        <v>0.33333333333333331</v>
      </c>
      <c r="V25" s="896">
        <v>45342</v>
      </c>
      <c r="W25" s="897">
        <v>45657</v>
      </c>
      <c r="X25" s="344" t="s">
        <v>387</v>
      </c>
      <c r="Y25" s="2989"/>
    </row>
    <row r="26" spans="1:25">
      <c r="A26" s="320"/>
      <c r="B26" s="322">
        <v>52030070012</v>
      </c>
      <c r="C26" s="322" t="s">
        <v>117</v>
      </c>
      <c r="D26" s="276" t="s">
        <v>171</v>
      </c>
      <c r="E26" s="105"/>
      <c r="F26" s="72"/>
      <c r="G26" s="116"/>
      <c r="H26" s="116"/>
      <c r="I26" s="105"/>
      <c r="J26" s="105"/>
      <c r="K26" s="116"/>
      <c r="L26" s="116"/>
      <c r="M26" s="91"/>
      <c r="N26" s="291"/>
      <c r="O26" s="77"/>
      <c r="P26" s="91"/>
      <c r="Q26" s="91"/>
      <c r="R26" s="91"/>
      <c r="S26" s="91"/>
      <c r="T26" s="220"/>
      <c r="U26" s="220"/>
      <c r="V26" s="898"/>
      <c r="W26" s="898"/>
      <c r="X26" s="91"/>
      <c r="Y26" s="72"/>
    </row>
    <row r="27" spans="1:25">
      <c r="A27" s="2991">
        <v>4132</v>
      </c>
      <c r="B27" s="2984"/>
      <c r="C27" s="2984" t="s">
        <v>123</v>
      </c>
      <c r="D27" s="2985" t="s">
        <v>173</v>
      </c>
      <c r="E27" s="142" t="s">
        <v>172</v>
      </c>
      <c r="F27" s="92"/>
      <c r="G27" s="115"/>
      <c r="H27" s="92"/>
      <c r="I27" s="115"/>
      <c r="J27" s="115"/>
      <c r="K27" s="92">
        <f>+K28</f>
        <v>1</v>
      </c>
      <c r="L27" s="283">
        <f>L28</f>
        <v>1</v>
      </c>
      <c r="M27" s="267">
        <f>M28</f>
        <v>0</v>
      </c>
      <c r="N27" s="99">
        <f>N28</f>
        <v>8.5999999999999993E-2</v>
      </c>
      <c r="O27" s="2996">
        <f>IF(Q27&gt;0,N27,"NA")</f>
        <v>8.5999999999999993E-2</v>
      </c>
      <c r="P27" s="151">
        <f>P28</f>
        <v>350000000</v>
      </c>
      <c r="Q27" s="151">
        <f>Q28</f>
        <v>350000000</v>
      </c>
      <c r="R27" s="151">
        <f>R28</f>
        <v>81050500</v>
      </c>
      <c r="S27" s="151">
        <f>S28</f>
        <v>39169500</v>
      </c>
      <c r="T27" s="77">
        <f>+IF(Q27=0,0,R27/Q27)</f>
        <v>0.23157285714285714</v>
      </c>
      <c r="U27" s="77">
        <f>+IF(R27=0,0,S27/R27)</f>
        <v>0.4832727743814042</v>
      </c>
      <c r="V27" s="896"/>
      <c r="W27" s="897"/>
      <c r="X27" s="91"/>
      <c r="Y27" s="2988" t="s">
        <v>155</v>
      </c>
    </row>
    <row r="28" spans="1:25" ht="118.8">
      <c r="A28" s="2991"/>
      <c r="B28" s="2984"/>
      <c r="C28" s="2984"/>
      <c r="D28" s="2985"/>
      <c r="E28" s="153" t="s">
        <v>289</v>
      </c>
      <c r="F28" s="92"/>
      <c r="G28" s="115" t="s">
        <v>171</v>
      </c>
      <c r="H28" s="92"/>
      <c r="I28" s="115" t="s">
        <v>327</v>
      </c>
      <c r="J28" s="115" t="s">
        <v>174</v>
      </c>
      <c r="K28" s="92">
        <v>1</v>
      </c>
      <c r="L28" s="283">
        <v>1</v>
      </c>
      <c r="M28" s="281">
        <v>0</v>
      </c>
      <c r="N28" s="99">
        <v>8.5999999999999993E-2</v>
      </c>
      <c r="O28" s="2998"/>
      <c r="P28" s="151">
        <v>350000000</v>
      </c>
      <c r="Q28" s="151">
        <v>350000000</v>
      </c>
      <c r="R28" s="151">
        <v>81050500</v>
      </c>
      <c r="S28" s="151">
        <v>39169500</v>
      </c>
      <c r="T28" s="77">
        <f>+IF(Q28=0,0,R28/Q28)</f>
        <v>0.23157285714285714</v>
      </c>
      <c r="U28" s="77">
        <f>+IF(R28=0,0,S28/R28)</f>
        <v>0.4832727743814042</v>
      </c>
      <c r="V28" s="896">
        <v>45343</v>
      </c>
      <c r="W28" s="897">
        <v>45657</v>
      </c>
      <c r="X28" s="270" t="s">
        <v>388</v>
      </c>
      <c r="Y28" s="2989"/>
    </row>
    <row r="29" spans="1:25">
      <c r="A29" s="345"/>
      <c r="B29" s="339">
        <v>5203008</v>
      </c>
      <c r="C29" s="339" t="s">
        <v>116</v>
      </c>
      <c r="D29" s="340" t="s">
        <v>175</v>
      </c>
      <c r="E29" s="155"/>
      <c r="F29" s="296"/>
      <c r="G29" s="96"/>
      <c r="H29" s="297"/>
      <c r="I29" s="298"/>
      <c r="J29" s="298"/>
      <c r="K29" s="299"/>
      <c r="L29" s="300"/>
      <c r="M29" s="91"/>
      <c r="N29" s="291"/>
      <c r="O29" s="77"/>
      <c r="P29" s="91"/>
      <c r="Q29" s="91"/>
      <c r="R29" s="91"/>
      <c r="S29" s="91"/>
      <c r="T29" s="220"/>
      <c r="U29" s="220"/>
      <c r="V29" s="309"/>
      <c r="W29" s="309"/>
      <c r="X29" s="91"/>
      <c r="Y29" s="72"/>
    </row>
    <row r="30" spans="1:25">
      <c r="A30" s="320"/>
      <c r="B30" s="322">
        <v>52030080010</v>
      </c>
      <c r="C30" s="322" t="s">
        <v>117</v>
      </c>
      <c r="D30" s="276" t="s">
        <v>176</v>
      </c>
      <c r="E30" s="105"/>
      <c r="F30" s="72"/>
      <c r="G30" s="116"/>
      <c r="H30" s="116"/>
      <c r="I30" s="105"/>
      <c r="J30" s="105"/>
      <c r="K30" s="116"/>
      <c r="L30" s="116"/>
      <c r="M30" s="91"/>
      <c r="N30" s="291"/>
      <c r="O30" s="77"/>
      <c r="P30" s="91"/>
      <c r="Q30" s="91"/>
      <c r="R30" s="91"/>
      <c r="S30" s="91"/>
      <c r="T30" s="220"/>
      <c r="U30" s="220"/>
      <c r="V30" s="898"/>
      <c r="W30" s="898"/>
      <c r="X30" s="91"/>
      <c r="Y30" s="72"/>
    </row>
    <row r="31" spans="1:25">
      <c r="A31" s="2991">
        <v>4132</v>
      </c>
      <c r="B31" s="2984"/>
      <c r="C31" s="2991" t="s">
        <v>123</v>
      </c>
      <c r="D31" s="2985" t="s">
        <v>177</v>
      </c>
      <c r="E31" s="74" t="s">
        <v>178</v>
      </c>
      <c r="F31" s="92"/>
      <c r="G31" s="115"/>
      <c r="H31" s="92"/>
      <c r="I31" s="295"/>
      <c r="J31" s="295"/>
      <c r="K31" s="93">
        <f>K32</f>
        <v>1</v>
      </c>
      <c r="L31" s="280">
        <f>L32</f>
        <v>1</v>
      </c>
      <c r="M31" s="267">
        <f>M32</f>
        <v>0</v>
      </c>
      <c r="N31" s="99">
        <f>N32</f>
        <v>2E-3</v>
      </c>
      <c r="O31" s="2996">
        <f>IF(Q31&gt;0,N31,"NA")</f>
        <v>2E-3</v>
      </c>
      <c r="P31" s="151">
        <f>P32</f>
        <v>350000000</v>
      </c>
      <c r="Q31" s="151">
        <f>Q32</f>
        <v>350000000</v>
      </c>
      <c r="R31" s="151">
        <f>R32</f>
        <v>71427000</v>
      </c>
      <c r="S31" s="151">
        <f>S32</f>
        <v>29579000</v>
      </c>
      <c r="T31" s="77">
        <f>+IF(Q31=0,0,R31/Q31)</f>
        <v>0.20407714285714285</v>
      </c>
      <c r="U31" s="77">
        <f>+IF(R31=0,0,S31/R31)</f>
        <v>0.41411511053243172</v>
      </c>
      <c r="V31" s="896"/>
      <c r="W31" s="897"/>
      <c r="X31" s="91"/>
      <c r="Y31" s="2988" t="s">
        <v>169</v>
      </c>
    </row>
    <row r="32" spans="1:25" ht="52.8">
      <c r="A32" s="2991"/>
      <c r="B32" s="2984"/>
      <c r="C32" s="2991"/>
      <c r="D32" s="2985"/>
      <c r="E32" s="153" t="s">
        <v>290</v>
      </c>
      <c r="F32" s="92"/>
      <c r="G32" s="115" t="s">
        <v>176</v>
      </c>
      <c r="H32" s="92"/>
      <c r="I32" s="295" t="s">
        <v>389</v>
      </c>
      <c r="J32" s="295" t="s">
        <v>170</v>
      </c>
      <c r="K32" s="93">
        <v>1</v>
      </c>
      <c r="L32" s="280">
        <v>1</v>
      </c>
      <c r="M32" s="281">
        <v>0</v>
      </c>
      <c r="N32" s="99">
        <v>2E-3</v>
      </c>
      <c r="O32" s="2998"/>
      <c r="P32" s="151">
        <v>350000000</v>
      </c>
      <c r="Q32" s="151">
        <v>350000000</v>
      </c>
      <c r="R32" s="151">
        <v>71427000</v>
      </c>
      <c r="S32" s="151">
        <v>29579000</v>
      </c>
      <c r="T32" s="77">
        <f>+IF(Q32=0,0,R32/Q32)</f>
        <v>0.20407714285714285</v>
      </c>
      <c r="U32" s="77">
        <f>+IF(R32=0,0,S32/R32)</f>
        <v>0.41411511053243172</v>
      </c>
      <c r="V32" s="896">
        <v>45342</v>
      </c>
      <c r="W32" s="897">
        <v>45657</v>
      </c>
      <c r="X32" s="346" t="s">
        <v>390</v>
      </c>
      <c r="Y32" s="2989"/>
    </row>
    <row r="33" spans="1:25">
      <c r="A33" s="345"/>
      <c r="B33" s="339">
        <v>5203009</v>
      </c>
      <c r="C33" s="339" t="s">
        <v>116</v>
      </c>
      <c r="D33" s="340" t="s">
        <v>179</v>
      </c>
      <c r="E33" s="90"/>
      <c r="F33" s="301"/>
      <c r="G33" s="90"/>
      <c r="H33" s="301"/>
      <c r="I33" s="90"/>
      <c r="J33" s="90"/>
      <c r="K33" s="301"/>
      <c r="L33" s="273"/>
      <c r="M33" s="91"/>
      <c r="N33" s="291"/>
      <c r="O33" s="77"/>
      <c r="P33" s="91"/>
      <c r="Q33" s="91"/>
      <c r="R33" s="91"/>
      <c r="S33" s="91"/>
      <c r="T33" s="220"/>
      <c r="U33" s="220"/>
      <c r="V33" s="302"/>
      <c r="W33" s="302"/>
      <c r="X33" s="91"/>
      <c r="Y33" s="72"/>
    </row>
    <row r="34" spans="1:25" ht="27.6">
      <c r="A34" s="320"/>
      <c r="B34" s="322">
        <v>52030090006</v>
      </c>
      <c r="C34" s="322" t="s">
        <v>117</v>
      </c>
      <c r="D34" s="276" t="s">
        <v>180</v>
      </c>
      <c r="E34" s="105"/>
      <c r="F34" s="72"/>
      <c r="G34" s="116"/>
      <c r="H34" s="116"/>
      <c r="I34" s="105"/>
      <c r="J34" s="105"/>
      <c r="K34" s="116"/>
      <c r="L34" s="116"/>
      <c r="M34" s="91"/>
      <c r="N34" s="291"/>
      <c r="O34" s="77"/>
      <c r="P34" s="91"/>
      <c r="Q34" s="91"/>
      <c r="R34" s="91"/>
      <c r="S34" s="91"/>
      <c r="T34" s="220"/>
      <c r="U34" s="220"/>
      <c r="V34" s="290"/>
      <c r="W34" s="290"/>
      <c r="X34" s="91"/>
      <c r="Y34" s="72"/>
    </row>
    <row r="35" spans="1:25">
      <c r="A35" s="2991">
        <v>4132</v>
      </c>
      <c r="B35" s="2984"/>
      <c r="C35" s="2984" t="s">
        <v>123</v>
      </c>
      <c r="D35" s="2985" t="s">
        <v>181</v>
      </c>
      <c r="E35" s="142" t="s">
        <v>182</v>
      </c>
      <c r="F35" s="92"/>
      <c r="G35" s="115"/>
      <c r="H35" s="92"/>
      <c r="I35" s="115"/>
      <c r="J35" s="115"/>
      <c r="K35" s="92">
        <v>1</v>
      </c>
      <c r="L35" s="283">
        <f>L37</f>
        <v>0.5</v>
      </c>
      <c r="M35" s="267">
        <f>+M36+M37</f>
        <v>0</v>
      </c>
      <c r="N35" s="99">
        <f>+N36+N37</f>
        <v>1E-3</v>
      </c>
      <c r="O35" s="2996">
        <f>IF(Q35&gt;0,N35,"NA")</f>
        <v>1E-3</v>
      </c>
      <c r="P35" s="151">
        <f>+P36+P37</f>
        <v>1500000000</v>
      </c>
      <c r="Q35" s="151">
        <f>+Q36+Q37</f>
        <v>1500000000</v>
      </c>
      <c r="R35" s="151">
        <f>+R36+R37</f>
        <v>52500000</v>
      </c>
      <c r="S35" s="151">
        <f>+S36+S37</f>
        <v>17500000</v>
      </c>
      <c r="T35" s="77">
        <f t="shared" ref="T35:U37" si="1">+IF(Q35=0,0,R35/Q35)</f>
        <v>3.5000000000000003E-2</v>
      </c>
      <c r="U35" s="77">
        <f t="shared" si="1"/>
        <v>0.33333333333333331</v>
      </c>
      <c r="V35" s="287"/>
      <c r="W35" s="268"/>
      <c r="X35" s="91"/>
      <c r="Y35" s="2988" t="s">
        <v>169</v>
      </c>
    </row>
    <row r="36" spans="1:25" ht="79.2">
      <c r="A36" s="2991"/>
      <c r="B36" s="2984"/>
      <c r="C36" s="2984"/>
      <c r="D36" s="2985"/>
      <c r="E36" s="142" t="s">
        <v>291</v>
      </c>
      <c r="F36" s="92"/>
      <c r="G36" s="115" t="s">
        <v>183</v>
      </c>
      <c r="H36" s="92"/>
      <c r="I36" s="115" t="s">
        <v>391</v>
      </c>
      <c r="J36" s="115" t="s">
        <v>184</v>
      </c>
      <c r="K36" s="92">
        <v>1</v>
      </c>
      <c r="L36" s="283">
        <v>0.5</v>
      </c>
      <c r="M36" s="267">
        <v>0</v>
      </c>
      <c r="N36" s="289">
        <v>1E-3</v>
      </c>
      <c r="O36" s="2997"/>
      <c r="P36" s="151">
        <v>529000000</v>
      </c>
      <c r="Q36" s="151">
        <v>529000000</v>
      </c>
      <c r="R36" s="151">
        <v>52500000</v>
      </c>
      <c r="S36" s="151">
        <v>17500000</v>
      </c>
      <c r="T36" s="77">
        <f t="shared" si="1"/>
        <v>9.9243856332703217E-2</v>
      </c>
      <c r="U36" s="77">
        <f t="shared" si="1"/>
        <v>0.33333333333333331</v>
      </c>
      <c r="V36" s="896">
        <v>45342</v>
      </c>
      <c r="W36" s="897">
        <v>45657</v>
      </c>
      <c r="X36" s="207" t="s">
        <v>392</v>
      </c>
      <c r="Y36" s="2989"/>
    </row>
    <row r="37" spans="1:25" ht="26.4">
      <c r="A37" s="2991"/>
      <c r="B37" s="2984"/>
      <c r="C37" s="2984"/>
      <c r="D37" s="2985"/>
      <c r="E37" s="153" t="s">
        <v>393</v>
      </c>
      <c r="F37" s="92"/>
      <c r="G37" s="95"/>
      <c r="H37" s="92"/>
      <c r="I37" s="115" t="s">
        <v>394</v>
      </c>
      <c r="J37" s="115" t="s">
        <v>395</v>
      </c>
      <c r="K37" s="92">
        <v>1</v>
      </c>
      <c r="L37" s="283">
        <v>0.5</v>
      </c>
      <c r="M37" s="281">
        <v>0</v>
      </c>
      <c r="N37" s="289">
        <v>0</v>
      </c>
      <c r="O37" s="2998"/>
      <c r="P37" s="151">
        <v>971000000</v>
      </c>
      <c r="Q37" s="151">
        <v>971000000</v>
      </c>
      <c r="R37" s="151">
        <v>0</v>
      </c>
      <c r="S37" s="151">
        <v>0</v>
      </c>
      <c r="T37" s="77">
        <f t="shared" si="1"/>
        <v>0</v>
      </c>
      <c r="U37" s="77">
        <f t="shared" si="1"/>
        <v>0</v>
      </c>
      <c r="V37" s="896"/>
      <c r="W37" s="897"/>
      <c r="X37" s="115"/>
      <c r="Y37" s="2989"/>
    </row>
    <row r="38" spans="1:25">
      <c r="A38" s="345"/>
      <c r="B38" s="339">
        <v>5205001</v>
      </c>
      <c r="C38" s="339" t="s">
        <v>116</v>
      </c>
      <c r="D38" s="340" t="s">
        <v>185</v>
      </c>
      <c r="E38" s="90"/>
      <c r="F38" s="301"/>
      <c r="G38" s="90"/>
      <c r="H38" s="301"/>
      <c r="I38" s="96"/>
      <c r="J38" s="96"/>
      <c r="K38" s="301"/>
      <c r="L38" s="273"/>
      <c r="M38" s="91"/>
      <c r="N38" s="291"/>
      <c r="O38" s="77"/>
      <c r="P38" s="91"/>
      <c r="Q38" s="91"/>
      <c r="R38" s="158"/>
      <c r="S38" s="91"/>
      <c r="T38" s="220"/>
      <c r="U38" s="220"/>
      <c r="V38" s="899"/>
      <c r="W38" s="899"/>
      <c r="X38" s="91"/>
      <c r="Y38" s="72"/>
    </row>
    <row r="39" spans="1:25" ht="27.6">
      <c r="A39" s="320"/>
      <c r="B39" s="322">
        <v>52050010008</v>
      </c>
      <c r="C39" s="322" t="s">
        <v>117</v>
      </c>
      <c r="D39" s="276" t="s">
        <v>328</v>
      </c>
      <c r="E39" s="105"/>
      <c r="F39" s="72"/>
      <c r="G39" s="116"/>
      <c r="H39" s="116"/>
      <c r="I39" s="105"/>
      <c r="J39" s="105"/>
      <c r="K39" s="116"/>
      <c r="L39" s="116"/>
      <c r="M39" s="91"/>
      <c r="N39" s="291"/>
      <c r="O39" s="77"/>
      <c r="P39" s="91"/>
      <c r="Q39" s="91"/>
      <c r="R39" s="91"/>
      <c r="S39" s="91"/>
      <c r="T39" s="220"/>
      <c r="U39" s="220"/>
      <c r="V39" s="898"/>
      <c r="W39" s="898"/>
      <c r="X39" s="91"/>
      <c r="Y39" s="72"/>
    </row>
    <row r="40" spans="1:25">
      <c r="A40" s="2991">
        <v>4132</v>
      </c>
      <c r="B40" s="2984"/>
      <c r="C40" s="2984" t="s">
        <v>123</v>
      </c>
      <c r="D40" s="2995" t="s">
        <v>396</v>
      </c>
      <c r="E40" s="142" t="s">
        <v>361</v>
      </c>
      <c r="F40" s="92"/>
      <c r="G40" s="142"/>
      <c r="H40" s="92"/>
      <c r="I40" s="115"/>
      <c r="J40" s="115"/>
      <c r="K40" s="92">
        <f>K41</f>
        <v>1</v>
      </c>
      <c r="L40" s="283">
        <f>L41</f>
        <v>1</v>
      </c>
      <c r="M40" s="267">
        <f>M41</f>
        <v>0</v>
      </c>
      <c r="N40" s="99">
        <f>N41</f>
        <v>0.05</v>
      </c>
      <c r="O40" s="2996">
        <f>IF(Q40&gt;0,N40,"NA")</f>
        <v>0.05</v>
      </c>
      <c r="P40" s="151">
        <f>P41</f>
        <v>1000000000</v>
      </c>
      <c r="Q40" s="151">
        <f>Q41</f>
        <v>1000000000</v>
      </c>
      <c r="R40" s="151">
        <f>R41</f>
        <v>38997000</v>
      </c>
      <c r="S40" s="151">
        <f>S41</f>
        <v>20228000</v>
      </c>
      <c r="T40" s="77">
        <f>+IF(Q40=0,0,R40/Q40)</f>
        <v>3.8996999999999997E-2</v>
      </c>
      <c r="U40" s="77">
        <f>+IF(R40=0,0,S40/R40)</f>
        <v>0.51870656717183372</v>
      </c>
      <c r="V40" s="896"/>
      <c r="W40" s="897"/>
      <c r="X40" s="270"/>
      <c r="Y40" s="2988" t="s">
        <v>169</v>
      </c>
    </row>
    <row r="41" spans="1:25" ht="145.19999999999999">
      <c r="A41" s="2991"/>
      <c r="B41" s="2984"/>
      <c r="C41" s="2984"/>
      <c r="D41" s="2995"/>
      <c r="E41" s="153" t="s">
        <v>362</v>
      </c>
      <c r="F41" s="281"/>
      <c r="G41" s="115" t="s">
        <v>329</v>
      </c>
      <c r="H41" s="92"/>
      <c r="I41" s="115" t="s">
        <v>363</v>
      </c>
      <c r="J41" s="115" t="s">
        <v>188</v>
      </c>
      <c r="K41" s="92">
        <v>1</v>
      </c>
      <c r="L41" s="283">
        <v>1</v>
      </c>
      <c r="M41" s="281">
        <v>0</v>
      </c>
      <c r="N41" s="99">
        <v>0.05</v>
      </c>
      <c r="O41" s="2998"/>
      <c r="P41" s="151">
        <v>1000000000</v>
      </c>
      <c r="Q41" s="151">
        <v>1000000000</v>
      </c>
      <c r="R41" s="151">
        <v>38997000</v>
      </c>
      <c r="S41" s="151">
        <v>20228000</v>
      </c>
      <c r="T41" s="77">
        <f>+IF(Q41=0,0,R41/Q41)</f>
        <v>3.8996999999999997E-2</v>
      </c>
      <c r="U41" s="77">
        <f>+IF(R41=0,0,S41/R41)</f>
        <v>0.51870656717183372</v>
      </c>
      <c r="V41" s="896">
        <v>45324</v>
      </c>
      <c r="W41" s="897">
        <v>45657</v>
      </c>
      <c r="X41" s="207" t="s">
        <v>397</v>
      </c>
      <c r="Y41" s="2989"/>
    </row>
    <row r="42" spans="1:25" ht="27.6">
      <c r="A42" s="279"/>
      <c r="B42" s="275">
        <v>52050010010</v>
      </c>
      <c r="C42" s="275" t="s">
        <v>117</v>
      </c>
      <c r="D42" s="317" t="s">
        <v>330</v>
      </c>
      <c r="E42" s="272"/>
      <c r="F42" s="156"/>
      <c r="G42" s="272"/>
      <c r="H42" s="272"/>
      <c r="I42" s="272"/>
      <c r="J42" s="272"/>
      <c r="K42" s="272"/>
      <c r="L42" s="272"/>
      <c r="M42" s="272"/>
      <c r="N42" s="303"/>
      <c r="O42" s="303"/>
      <c r="P42" s="272"/>
      <c r="Q42" s="272"/>
      <c r="R42" s="272"/>
      <c r="S42" s="272"/>
      <c r="T42" s="303"/>
      <c r="U42" s="303"/>
      <c r="V42" s="272"/>
      <c r="W42" s="272"/>
      <c r="X42" s="272"/>
      <c r="Y42" s="272"/>
    </row>
    <row r="43" spans="1:25" ht="14.4">
      <c r="A43" s="2991">
        <v>4132</v>
      </c>
      <c r="B43" s="2984"/>
      <c r="C43" s="2984" t="s">
        <v>123</v>
      </c>
      <c r="D43" s="3000" t="s">
        <v>186</v>
      </c>
      <c r="E43" s="142" t="s">
        <v>187</v>
      </c>
      <c r="F43" s="92"/>
      <c r="G43" s="272"/>
      <c r="H43" s="149"/>
      <c r="I43" s="272"/>
      <c r="J43" s="272"/>
      <c r="K43" s="92">
        <f>K44</f>
        <v>40</v>
      </c>
      <c r="L43" s="304">
        <f>+L44+L45</f>
        <v>1</v>
      </c>
      <c r="M43" s="114">
        <v>0</v>
      </c>
      <c r="N43" s="289">
        <f>+N44+N45</f>
        <v>0.01</v>
      </c>
      <c r="O43" s="2996">
        <f>IF(Q43&gt;0,N43,"NA")</f>
        <v>0.01</v>
      </c>
      <c r="P43" s="151">
        <f>P44+P45</f>
        <v>600000000</v>
      </c>
      <c r="Q43" s="151">
        <f>Q44+Q45</f>
        <v>600000000</v>
      </c>
      <c r="R43" s="151">
        <f>R44+R45</f>
        <v>41687000</v>
      </c>
      <c r="S43" s="151">
        <f>S44+S45</f>
        <v>6498999</v>
      </c>
      <c r="T43" s="77">
        <f t="shared" ref="T43:U45" si="2">+IF(Q43=0,0,R43/Q43)</f>
        <v>6.9478333333333336E-2</v>
      </c>
      <c r="U43" s="77">
        <f t="shared" si="2"/>
        <v>0.15589989685033703</v>
      </c>
      <c r="V43" s="272"/>
      <c r="W43" s="272"/>
      <c r="X43" s="272"/>
      <c r="Y43" s="2988" t="s">
        <v>169</v>
      </c>
    </row>
    <row r="44" spans="1:25" ht="92.4">
      <c r="A44" s="2991"/>
      <c r="B44" s="2984"/>
      <c r="C44" s="2984"/>
      <c r="D44" s="3000"/>
      <c r="E44" s="153" t="s">
        <v>292</v>
      </c>
      <c r="F44" s="2992"/>
      <c r="G44" s="95" t="s">
        <v>331</v>
      </c>
      <c r="H44" s="149"/>
      <c r="I44" s="95" t="s">
        <v>398</v>
      </c>
      <c r="J44" s="95" t="s">
        <v>188</v>
      </c>
      <c r="K44" s="142">
        <v>40</v>
      </c>
      <c r="L44" s="305">
        <v>0.9</v>
      </c>
      <c r="M44" s="114">
        <v>0</v>
      </c>
      <c r="N44" s="289">
        <v>0.01</v>
      </c>
      <c r="O44" s="2997"/>
      <c r="P44" s="100">
        <v>570000000</v>
      </c>
      <c r="Q44" s="100">
        <v>570000000</v>
      </c>
      <c r="R44" s="100">
        <v>41687000</v>
      </c>
      <c r="S44" s="100">
        <v>6498999</v>
      </c>
      <c r="T44" s="77">
        <f t="shared" si="2"/>
        <v>7.3135087719298247E-2</v>
      </c>
      <c r="U44" s="77">
        <f>+IF(R44=0,0,S44/R44)</f>
        <v>0.15589989685033703</v>
      </c>
      <c r="V44" s="896">
        <v>45324</v>
      </c>
      <c r="W44" s="897">
        <v>45657</v>
      </c>
      <c r="X44" s="115" t="s">
        <v>399</v>
      </c>
      <c r="Y44" s="2989"/>
    </row>
    <row r="45" spans="1:25" ht="26.4">
      <c r="A45" s="2991"/>
      <c r="B45" s="2984"/>
      <c r="C45" s="2984"/>
      <c r="D45" s="3000"/>
      <c r="E45" s="153" t="s">
        <v>400</v>
      </c>
      <c r="F45" s="2989"/>
      <c r="G45" s="272"/>
      <c r="H45" s="272"/>
      <c r="I45" s="95" t="s">
        <v>401</v>
      </c>
      <c r="J45" s="95" t="s">
        <v>132</v>
      </c>
      <c r="K45" s="142">
        <v>1</v>
      </c>
      <c r="L45" s="305">
        <v>0.1</v>
      </c>
      <c r="M45" s="114">
        <v>0</v>
      </c>
      <c r="N45" s="289">
        <v>0</v>
      </c>
      <c r="O45" s="2998"/>
      <c r="P45" s="100">
        <v>30000000</v>
      </c>
      <c r="Q45" s="100">
        <v>30000000</v>
      </c>
      <c r="R45" s="100">
        <v>0</v>
      </c>
      <c r="S45" s="100">
        <v>0</v>
      </c>
      <c r="T45" s="77">
        <f t="shared" si="2"/>
        <v>0</v>
      </c>
      <c r="U45" s="77">
        <f t="shared" si="2"/>
        <v>0</v>
      </c>
      <c r="V45" s="896"/>
      <c r="W45" s="897"/>
      <c r="X45" s="268"/>
      <c r="Y45" s="2989"/>
    </row>
    <row r="46" spans="1:25" ht="15.6">
      <c r="A46" s="335"/>
      <c r="B46" s="336">
        <v>53</v>
      </c>
      <c r="C46" s="336" t="s">
        <v>114</v>
      </c>
      <c r="D46" s="338" t="s">
        <v>189</v>
      </c>
      <c r="E46" s="86"/>
      <c r="F46" s="306"/>
      <c r="G46" s="147"/>
      <c r="H46" s="306"/>
      <c r="I46" s="86"/>
      <c r="J46" s="86"/>
      <c r="K46" s="306"/>
      <c r="L46" s="307"/>
      <c r="M46" s="91"/>
      <c r="N46" s="291"/>
      <c r="O46" s="77"/>
      <c r="P46" s="91"/>
      <c r="Q46" s="91"/>
      <c r="R46" s="91"/>
      <c r="S46" s="91"/>
      <c r="T46" s="220"/>
      <c r="U46" s="220"/>
      <c r="V46" s="900"/>
      <c r="W46" s="900"/>
      <c r="X46" s="91"/>
      <c r="Y46" s="72"/>
    </row>
    <row r="47" spans="1:25" ht="15.6">
      <c r="A47" s="335"/>
      <c r="B47" s="347">
        <v>5302</v>
      </c>
      <c r="C47" s="347" t="s">
        <v>115</v>
      </c>
      <c r="D47" s="337" t="s">
        <v>190</v>
      </c>
      <c r="E47" s="86"/>
      <c r="F47" s="306"/>
      <c r="G47" s="147"/>
      <c r="H47" s="306"/>
      <c r="I47" s="86"/>
      <c r="J47" s="86"/>
      <c r="K47" s="306"/>
      <c r="L47" s="307"/>
      <c r="M47" s="91"/>
      <c r="N47" s="291"/>
      <c r="O47" s="77"/>
      <c r="P47" s="91"/>
      <c r="Q47" s="91"/>
      <c r="R47" s="91"/>
      <c r="S47" s="91"/>
      <c r="T47" s="220"/>
      <c r="U47" s="220"/>
      <c r="V47" s="900"/>
      <c r="W47" s="900"/>
      <c r="X47" s="91"/>
      <c r="Y47" s="72"/>
    </row>
    <row r="48" spans="1:25">
      <c r="A48" s="321"/>
      <c r="B48" s="339">
        <v>5302001</v>
      </c>
      <c r="C48" s="339" t="s">
        <v>116</v>
      </c>
      <c r="D48" s="340" t="s">
        <v>191</v>
      </c>
      <c r="E48" s="90"/>
      <c r="F48" s="301"/>
      <c r="G48" s="146"/>
      <c r="H48" s="301"/>
      <c r="I48" s="90"/>
      <c r="J48" s="90"/>
      <c r="K48" s="301"/>
      <c r="L48" s="273"/>
      <c r="M48" s="91"/>
      <c r="N48" s="291"/>
      <c r="O48" s="77"/>
      <c r="P48" s="91"/>
      <c r="Q48" s="91"/>
      <c r="R48" s="91"/>
      <c r="S48" s="91"/>
      <c r="T48" s="220"/>
      <c r="U48" s="220"/>
      <c r="V48" s="899"/>
      <c r="W48" s="899"/>
      <c r="X48" s="91"/>
      <c r="Y48" s="72"/>
    </row>
    <row r="49" spans="1:25" ht="41.4">
      <c r="A49" s="320"/>
      <c r="B49" s="322">
        <v>53020010010</v>
      </c>
      <c r="C49" s="322" t="s">
        <v>117</v>
      </c>
      <c r="D49" s="276" t="s">
        <v>192</v>
      </c>
      <c r="E49" s="105"/>
      <c r="F49" s="72"/>
      <c r="G49" s="116"/>
      <c r="H49" s="116"/>
      <c r="I49" s="105"/>
      <c r="J49" s="105"/>
      <c r="K49" s="116"/>
      <c r="L49" s="116"/>
      <c r="M49" s="91"/>
      <c r="N49" s="291"/>
      <c r="O49" s="77"/>
      <c r="P49" s="91"/>
      <c r="Q49" s="91"/>
      <c r="R49" s="91"/>
      <c r="S49" s="91"/>
      <c r="T49" s="220"/>
      <c r="U49" s="220"/>
      <c r="V49" s="898"/>
      <c r="W49" s="898"/>
      <c r="X49" s="91"/>
      <c r="Y49" s="72"/>
    </row>
    <row r="50" spans="1:25">
      <c r="A50" s="2991">
        <v>4132</v>
      </c>
      <c r="B50" s="2984"/>
      <c r="C50" s="2984" t="s">
        <v>123</v>
      </c>
      <c r="D50" s="3000" t="s">
        <v>193</v>
      </c>
      <c r="E50" s="142" t="s">
        <v>194</v>
      </c>
      <c r="F50" s="281"/>
      <c r="G50" s="142"/>
      <c r="H50" s="92"/>
      <c r="I50" s="115"/>
      <c r="J50" s="115"/>
      <c r="K50" s="92">
        <f>K51</f>
        <v>1</v>
      </c>
      <c r="L50" s="283">
        <f>L51</f>
        <v>1</v>
      </c>
      <c r="M50" s="283">
        <f>M51</f>
        <v>0</v>
      </c>
      <c r="N50" s="99">
        <f>N51</f>
        <v>0.1</v>
      </c>
      <c r="O50" s="2996">
        <f>IF(Q50&gt;0,N50,"NA")</f>
        <v>0.1</v>
      </c>
      <c r="P50" s="151">
        <f>P51</f>
        <v>1000000000</v>
      </c>
      <c r="Q50" s="151">
        <f>Q51</f>
        <v>1000000000</v>
      </c>
      <c r="R50" s="151">
        <f>R51</f>
        <v>125609000</v>
      </c>
      <c r="S50" s="151">
        <f>S51</f>
        <v>37347000</v>
      </c>
      <c r="T50" s="77">
        <f>+IF(Q50=0,0,R50/Q50)</f>
        <v>0.125609</v>
      </c>
      <c r="U50" s="77">
        <f>+IF(R50=0,0,S50/R50)</f>
        <v>0.29732742080583396</v>
      </c>
      <c r="V50" s="896"/>
      <c r="W50" s="897"/>
      <c r="X50" s="91"/>
      <c r="Y50" s="2988" t="s">
        <v>169</v>
      </c>
    </row>
    <row r="51" spans="1:25" ht="158.4">
      <c r="A51" s="2991"/>
      <c r="B51" s="2984"/>
      <c r="C51" s="2984"/>
      <c r="D51" s="3000"/>
      <c r="E51" s="153" t="s">
        <v>293</v>
      </c>
      <c r="F51" s="281"/>
      <c r="G51" s="115" t="s">
        <v>192</v>
      </c>
      <c r="H51" s="92"/>
      <c r="I51" s="115" t="s">
        <v>332</v>
      </c>
      <c r="J51" s="115" t="s">
        <v>121</v>
      </c>
      <c r="K51" s="92">
        <v>1</v>
      </c>
      <c r="L51" s="283">
        <v>1</v>
      </c>
      <c r="M51" s="281">
        <v>0</v>
      </c>
      <c r="N51" s="99">
        <v>0.1</v>
      </c>
      <c r="O51" s="2998"/>
      <c r="P51" s="151">
        <v>1000000000</v>
      </c>
      <c r="Q51" s="151">
        <v>1000000000</v>
      </c>
      <c r="R51" s="151">
        <v>125609000</v>
      </c>
      <c r="S51" s="151">
        <v>37347000</v>
      </c>
      <c r="T51" s="77">
        <f>+IF(Q51=0,0,R51/Q51)</f>
        <v>0.125609</v>
      </c>
      <c r="U51" s="77">
        <f>+IF(R51=0,0,S51/R51)</f>
        <v>0.29732742080583396</v>
      </c>
      <c r="V51" s="896">
        <v>45341</v>
      </c>
      <c r="W51" s="897">
        <v>45657</v>
      </c>
      <c r="X51" s="95" t="s">
        <v>402</v>
      </c>
      <c r="Y51" s="2989"/>
    </row>
    <row r="52" spans="1:25" ht="15.6">
      <c r="A52" s="336"/>
      <c r="B52" s="347">
        <v>5304</v>
      </c>
      <c r="C52" s="347" t="s">
        <v>115</v>
      </c>
      <c r="D52" s="337" t="s">
        <v>195</v>
      </c>
      <c r="E52" s="86"/>
      <c r="F52" s="306"/>
      <c r="G52" s="88"/>
      <c r="H52" s="306"/>
      <c r="I52" s="86"/>
      <c r="J52" s="86"/>
      <c r="K52" s="306"/>
      <c r="L52" s="307"/>
      <c r="M52" s="91"/>
      <c r="N52" s="291"/>
      <c r="O52" s="77"/>
      <c r="P52" s="91"/>
      <c r="Q52" s="91"/>
      <c r="R52" s="91"/>
      <c r="S52" s="91"/>
      <c r="T52" s="220"/>
      <c r="U52" s="220"/>
      <c r="V52" s="900"/>
      <c r="W52" s="900"/>
      <c r="X52" s="91"/>
      <c r="Y52" s="72"/>
    </row>
    <row r="53" spans="1:25">
      <c r="A53" s="345"/>
      <c r="B53" s="339">
        <v>5304005</v>
      </c>
      <c r="C53" s="339" t="s">
        <v>116</v>
      </c>
      <c r="D53" s="340" t="s">
        <v>196</v>
      </c>
      <c r="E53" s="90"/>
      <c r="F53" s="301"/>
      <c r="G53" s="96"/>
      <c r="H53" s="301"/>
      <c r="I53" s="90"/>
      <c r="J53" s="90"/>
      <c r="K53" s="301"/>
      <c r="L53" s="273"/>
      <c r="M53" s="91"/>
      <c r="N53" s="291"/>
      <c r="O53" s="77"/>
      <c r="P53" s="91"/>
      <c r="Q53" s="91"/>
      <c r="R53" s="91"/>
      <c r="S53" s="91"/>
      <c r="T53" s="220"/>
      <c r="U53" s="220"/>
      <c r="V53" s="899"/>
      <c r="W53" s="899"/>
      <c r="X53" s="91"/>
      <c r="Y53" s="72"/>
    </row>
    <row r="54" spans="1:25">
      <c r="A54" s="320"/>
      <c r="B54" s="322">
        <v>53040050012</v>
      </c>
      <c r="C54" s="322" t="s">
        <v>117</v>
      </c>
      <c r="D54" s="276" t="s">
        <v>197</v>
      </c>
      <c r="E54" s="105"/>
      <c r="F54" s="72"/>
      <c r="G54" s="116"/>
      <c r="H54" s="116"/>
      <c r="I54" s="105"/>
      <c r="J54" s="105"/>
      <c r="K54" s="116"/>
      <c r="L54" s="116"/>
      <c r="M54" s="91"/>
      <c r="N54" s="291"/>
      <c r="O54" s="77"/>
      <c r="P54" s="91"/>
      <c r="Q54" s="91"/>
      <c r="R54" s="91"/>
      <c r="S54" s="91"/>
      <c r="T54" s="220"/>
      <c r="U54" s="220"/>
      <c r="V54" s="898"/>
      <c r="W54" s="898"/>
      <c r="X54" s="91"/>
      <c r="Y54" s="72"/>
    </row>
    <row r="55" spans="1:25">
      <c r="A55" s="2991">
        <v>4132</v>
      </c>
      <c r="B55" s="2984"/>
      <c r="C55" s="2984" t="s">
        <v>123</v>
      </c>
      <c r="D55" s="2985" t="s">
        <v>198</v>
      </c>
      <c r="E55" s="142" t="s">
        <v>199</v>
      </c>
      <c r="F55" s="92"/>
      <c r="G55" s="95"/>
      <c r="H55" s="92"/>
      <c r="I55" s="115"/>
      <c r="J55" s="115"/>
      <c r="K55" s="92">
        <f>+K58</f>
        <v>1</v>
      </c>
      <c r="L55" s="283">
        <f>+L56+L57+L58</f>
        <v>1</v>
      </c>
      <c r="M55" s="267">
        <f>+M56+M57+M58</f>
        <v>0</v>
      </c>
      <c r="N55" s="99">
        <f>+N56+N57+N58</f>
        <v>0.05</v>
      </c>
      <c r="O55" s="2996">
        <f>IF(Q55&gt;0,N55,"na")</f>
        <v>0.05</v>
      </c>
      <c r="P55" s="151">
        <f>+P56+P57+P58</f>
        <v>300000000</v>
      </c>
      <c r="Q55" s="151">
        <f>Q56+Q58+Q57</f>
        <v>300000000</v>
      </c>
      <c r="R55" s="151">
        <f>R56+R58</f>
        <v>17310000</v>
      </c>
      <c r="S55" s="151">
        <f>S56+S58</f>
        <v>5770000</v>
      </c>
      <c r="T55" s="77">
        <f t="shared" ref="T55:U58" si="3">+IF(Q55=0,0,R55/Q55)</f>
        <v>5.7700000000000001E-2</v>
      </c>
      <c r="U55" s="77">
        <f t="shared" si="3"/>
        <v>0.33333333333333331</v>
      </c>
      <c r="V55" s="896"/>
      <c r="W55" s="897"/>
      <c r="X55" s="91"/>
      <c r="Y55" s="2988" t="s">
        <v>169</v>
      </c>
    </row>
    <row r="56" spans="1:25" ht="26.4">
      <c r="A56" s="2991"/>
      <c r="B56" s="2984"/>
      <c r="C56" s="2984"/>
      <c r="D56" s="2985"/>
      <c r="E56" s="153" t="s">
        <v>403</v>
      </c>
      <c r="F56" s="92"/>
      <c r="G56" s="312"/>
      <c r="H56" s="92"/>
      <c r="I56" s="115" t="s">
        <v>404</v>
      </c>
      <c r="J56" s="115" t="s">
        <v>405</v>
      </c>
      <c r="K56" s="92">
        <v>1</v>
      </c>
      <c r="L56" s="283">
        <v>0.3</v>
      </c>
      <c r="M56" s="281">
        <v>0</v>
      </c>
      <c r="N56" s="99">
        <v>0</v>
      </c>
      <c r="O56" s="2997"/>
      <c r="P56" s="151">
        <v>65000000</v>
      </c>
      <c r="Q56" s="151">
        <v>65000000</v>
      </c>
      <c r="R56" s="151">
        <v>0</v>
      </c>
      <c r="S56" s="151">
        <v>0</v>
      </c>
      <c r="T56" s="77">
        <f t="shared" si="3"/>
        <v>0</v>
      </c>
      <c r="U56" s="77">
        <f>+IF(R56=0,0,S56/R56)</f>
        <v>0</v>
      </c>
      <c r="V56" s="896"/>
      <c r="W56" s="897"/>
      <c r="X56" s="207"/>
      <c r="Y56" s="2989"/>
    </row>
    <row r="57" spans="1:25" ht="26.4">
      <c r="A57" s="2991"/>
      <c r="B57" s="2984"/>
      <c r="C57" s="2984"/>
      <c r="D57" s="2985"/>
      <c r="E57" s="153" t="s">
        <v>294</v>
      </c>
      <c r="F57" s="2992"/>
      <c r="G57" s="312"/>
      <c r="H57" s="92"/>
      <c r="I57" s="115" t="s">
        <v>406</v>
      </c>
      <c r="J57" s="115" t="s">
        <v>333</v>
      </c>
      <c r="K57" s="92">
        <v>1</v>
      </c>
      <c r="L57" s="283">
        <v>0.3</v>
      </c>
      <c r="M57" s="281">
        <v>0</v>
      </c>
      <c r="N57" s="99">
        <v>0</v>
      </c>
      <c r="O57" s="2997"/>
      <c r="P57" s="151">
        <v>33240000</v>
      </c>
      <c r="Q57" s="151">
        <v>33240000</v>
      </c>
      <c r="R57" s="151">
        <v>0</v>
      </c>
      <c r="S57" s="151">
        <v>0</v>
      </c>
      <c r="T57" s="77">
        <f t="shared" si="3"/>
        <v>0</v>
      </c>
      <c r="U57" s="77">
        <f>+IF(R57=0,0,S57/R57)</f>
        <v>0</v>
      </c>
      <c r="V57" s="896"/>
      <c r="W57" s="897"/>
      <c r="X57" s="207"/>
      <c r="Y57" s="2989"/>
    </row>
    <row r="58" spans="1:25" ht="66">
      <c r="A58" s="2991"/>
      <c r="B58" s="2984"/>
      <c r="C58" s="2984"/>
      <c r="D58" s="2985"/>
      <c r="E58" s="153" t="s">
        <v>295</v>
      </c>
      <c r="F58" s="2989"/>
      <c r="G58" s="95" t="s">
        <v>200</v>
      </c>
      <c r="H58" s="92"/>
      <c r="I58" s="115" t="s">
        <v>407</v>
      </c>
      <c r="J58" s="115" t="s">
        <v>334</v>
      </c>
      <c r="K58" s="92">
        <v>1</v>
      </c>
      <c r="L58" s="283">
        <v>0.4</v>
      </c>
      <c r="M58" s="281">
        <v>0</v>
      </c>
      <c r="N58" s="99">
        <v>0.05</v>
      </c>
      <c r="O58" s="2998"/>
      <c r="P58" s="151">
        <v>201760000</v>
      </c>
      <c r="Q58" s="151">
        <v>201760000</v>
      </c>
      <c r="R58" s="151">
        <v>17310000</v>
      </c>
      <c r="S58" s="151">
        <v>5770000</v>
      </c>
      <c r="T58" s="77">
        <f t="shared" si="3"/>
        <v>8.5795003965107058E-2</v>
      </c>
      <c r="U58" s="77">
        <f>+IF(R58=0,0,S58/R58)</f>
        <v>0.33333333333333331</v>
      </c>
      <c r="V58" s="896">
        <v>45349</v>
      </c>
      <c r="W58" s="897">
        <v>45657</v>
      </c>
      <c r="X58" s="99" t="s">
        <v>408</v>
      </c>
      <c r="Y58" s="2989"/>
    </row>
    <row r="59" spans="1:25" ht="15.6">
      <c r="A59" s="335"/>
      <c r="B59" s="336">
        <v>53</v>
      </c>
      <c r="C59" s="336" t="s">
        <v>114</v>
      </c>
      <c r="D59" s="338" t="s">
        <v>189</v>
      </c>
      <c r="E59" s="86"/>
      <c r="F59" s="306"/>
      <c r="G59" s="147"/>
      <c r="H59" s="306"/>
      <c r="I59" s="86"/>
      <c r="J59" s="86"/>
      <c r="K59" s="306"/>
      <c r="L59" s="307"/>
      <c r="M59" s="307"/>
      <c r="N59" s="291"/>
      <c r="O59" s="77"/>
      <c r="P59" s="91"/>
      <c r="Q59" s="91"/>
      <c r="R59" s="211"/>
      <c r="S59" s="91"/>
      <c r="T59" s="220"/>
      <c r="U59" s="220"/>
      <c r="V59" s="900"/>
      <c r="W59" s="900"/>
      <c r="X59" s="91"/>
      <c r="Y59" s="72"/>
    </row>
    <row r="60" spans="1:25" ht="15.6">
      <c r="A60" s="336"/>
      <c r="B60" s="347">
        <v>5305</v>
      </c>
      <c r="C60" s="347" t="s">
        <v>115</v>
      </c>
      <c r="D60" s="337" t="s">
        <v>266</v>
      </c>
      <c r="E60" s="86"/>
      <c r="F60" s="306"/>
      <c r="G60" s="88"/>
      <c r="H60" s="306"/>
      <c r="I60" s="86"/>
      <c r="J60" s="86"/>
      <c r="K60" s="306"/>
      <c r="L60" s="307"/>
      <c r="M60" s="307"/>
      <c r="N60" s="291"/>
      <c r="O60" s="77"/>
      <c r="P60" s="91"/>
      <c r="Q60" s="91"/>
      <c r="R60" s="91"/>
      <c r="S60" s="91"/>
      <c r="T60" s="220"/>
      <c r="U60" s="220"/>
      <c r="V60" s="900"/>
      <c r="W60" s="900"/>
      <c r="X60" s="91"/>
      <c r="Y60" s="72"/>
    </row>
    <row r="61" spans="1:25">
      <c r="A61" s="345"/>
      <c r="B61" s="339">
        <v>5305001</v>
      </c>
      <c r="C61" s="339" t="s">
        <v>116</v>
      </c>
      <c r="D61" s="340" t="s">
        <v>335</v>
      </c>
      <c r="E61" s="90"/>
      <c r="F61" s="301"/>
      <c r="G61" s="96"/>
      <c r="H61" s="89"/>
      <c r="I61" s="90"/>
      <c r="J61" s="90"/>
      <c r="K61" s="97"/>
      <c r="L61" s="89"/>
      <c r="M61" s="89"/>
      <c r="N61" s="291"/>
      <c r="O61" s="77"/>
      <c r="P61" s="91"/>
      <c r="Q61" s="91"/>
      <c r="R61" s="91"/>
      <c r="S61" s="91"/>
      <c r="T61" s="220"/>
      <c r="U61" s="220"/>
      <c r="V61" s="309"/>
      <c r="W61" s="309"/>
      <c r="X61" s="91"/>
      <c r="Y61" s="72"/>
    </row>
    <row r="62" spans="1:25" ht="15.6">
      <c r="A62" s="320"/>
      <c r="B62" s="322">
        <v>53050010007</v>
      </c>
      <c r="C62" s="322" t="s">
        <v>117</v>
      </c>
      <c r="D62" s="276" t="s">
        <v>337</v>
      </c>
      <c r="E62" s="105"/>
      <c r="F62" s="101"/>
      <c r="G62" s="116"/>
      <c r="H62" s="116"/>
      <c r="I62" s="105"/>
      <c r="J62" s="105"/>
      <c r="K62" s="116"/>
      <c r="L62" s="116"/>
      <c r="M62" s="307"/>
      <c r="N62" s="291"/>
      <c r="O62" s="77"/>
      <c r="P62" s="91"/>
      <c r="Q62" s="91"/>
      <c r="R62" s="91"/>
      <c r="S62" s="91"/>
      <c r="T62" s="220"/>
      <c r="U62" s="220"/>
      <c r="V62" s="898"/>
      <c r="W62" s="898"/>
      <c r="X62" s="91"/>
      <c r="Y62" s="72"/>
    </row>
    <row r="63" spans="1:25">
      <c r="A63" s="2991">
        <v>4132</v>
      </c>
      <c r="B63" s="2984"/>
      <c r="C63" s="2984" t="s">
        <v>123</v>
      </c>
      <c r="D63" s="2985" t="s">
        <v>338</v>
      </c>
      <c r="E63" s="142" t="s">
        <v>339</v>
      </c>
      <c r="F63" s="92"/>
      <c r="G63" s="95"/>
      <c r="H63" s="149"/>
      <c r="I63" s="115"/>
      <c r="J63" s="115"/>
      <c r="K63" s="92">
        <f>K65</f>
        <v>470</v>
      </c>
      <c r="L63" s="283">
        <v>1</v>
      </c>
      <c r="M63" s="267">
        <f>+M64+M65</f>
        <v>86</v>
      </c>
      <c r="N63" s="99">
        <f>+N64+N65</f>
        <v>9.799999999999999E-2</v>
      </c>
      <c r="O63" s="2996">
        <f>IF(Q63&gt;0,N63,"NA")</f>
        <v>9.799999999999999E-2</v>
      </c>
      <c r="P63" s="151">
        <f>+P64+P65</f>
        <v>500000000</v>
      </c>
      <c r="Q63" s="151">
        <f>+Q64+Q65</f>
        <v>500000000</v>
      </c>
      <c r="R63" s="151">
        <f>+R64+R65</f>
        <v>50313000</v>
      </c>
      <c r="S63" s="151">
        <f>+S64+S65</f>
        <v>16771000</v>
      </c>
      <c r="T63" s="77">
        <f t="shared" ref="T63:U65" si="4">+IF(Q63=0,0,R63/Q63)</f>
        <v>0.10062599999999999</v>
      </c>
      <c r="U63" s="77">
        <f t="shared" si="4"/>
        <v>0.33333333333333331</v>
      </c>
      <c r="V63" s="896"/>
      <c r="W63" s="897"/>
      <c r="X63" s="91"/>
      <c r="Y63" s="2988" t="s">
        <v>169</v>
      </c>
    </row>
    <row r="64" spans="1:25" ht="52.8">
      <c r="A64" s="2991"/>
      <c r="B64" s="2984"/>
      <c r="C64" s="2984"/>
      <c r="D64" s="2985"/>
      <c r="E64" s="115" t="s">
        <v>409</v>
      </c>
      <c r="F64" s="92"/>
      <c r="G64" s="95" t="s">
        <v>337</v>
      </c>
      <c r="H64" s="149"/>
      <c r="I64" s="115" t="s">
        <v>410</v>
      </c>
      <c r="J64" s="115" t="s">
        <v>336</v>
      </c>
      <c r="K64" s="92">
        <v>1</v>
      </c>
      <c r="L64" s="283">
        <v>0.93</v>
      </c>
      <c r="M64" s="267"/>
      <c r="N64" s="99">
        <v>8.5999999999999993E-2</v>
      </c>
      <c r="O64" s="2997"/>
      <c r="P64" s="151">
        <v>465600000</v>
      </c>
      <c r="Q64" s="151">
        <v>465600000</v>
      </c>
      <c r="R64" s="151">
        <v>34620000</v>
      </c>
      <c r="S64" s="151">
        <v>11540000</v>
      </c>
      <c r="T64" s="77">
        <f t="shared" si="4"/>
        <v>7.4355670103092783E-2</v>
      </c>
      <c r="U64" s="77">
        <f t="shared" si="4"/>
        <v>0.33333333333333331</v>
      </c>
      <c r="V64" s="896">
        <v>45342</v>
      </c>
      <c r="W64" s="897">
        <v>45657</v>
      </c>
      <c r="X64" s="346" t="s">
        <v>411</v>
      </c>
      <c r="Y64" s="2989"/>
    </row>
    <row r="65" spans="1:25" ht="66">
      <c r="A65" s="2991"/>
      <c r="B65" s="2984"/>
      <c r="C65" s="2984"/>
      <c r="D65" s="2985"/>
      <c r="E65" s="153" t="s">
        <v>340</v>
      </c>
      <c r="F65" s="92"/>
      <c r="G65" s="95"/>
      <c r="H65" s="149"/>
      <c r="I65" s="95" t="s">
        <v>341</v>
      </c>
      <c r="J65" s="115" t="s">
        <v>188</v>
      </c>
      <c r="K65" s="92">
        <v>470</v>
      </c>
      <c r="L65" s="283">
        <v>7.0000000000000007E-2</v>
      </c>
      <c r="M65" s="281">
        <v>86</v>
      </c>
      <c r="N65" s="99">
        <v>1.2E-2</v>
      </c>
      <c r="O65" s="2998"/>
      <c r="P65" s="151">
        <v>34400000</v>
      </c>
      <c r="Q65" s="151">
        <v>34400000</v>
      </c>
      <c r="R65" s="151">
        <v>15693000</v>
      </c>
      <c r="S65" s="151">
        <v>5231000</v>
      </c>
      <c r="T65" s="77">
        <f t="shared" si="4"/>
        <v>0.45619186046511628</v>
      </c>
      <c r="U65" s="77">
        <f t="shared" si="4"/>
        <v>0.33333333333333331</v>
      </c>
      <c r="V65" s="896">
        <v>45342</v>
      </c>
      <c r="W65" s="897">
        <v>45657</v>
      </c>
      <c r="X65" s="207" t="s">
        <v>412</v>
      </c>
      <c r="Y65" s="2989"/>
    </row>
    <row r="66" spans="1:25" ht="15.6">
      <c r="A66" s="335"/>
      <c r="B66" s="347">
        <v>54</v>
      </c>
      <c r="C66" s="347" t="s">
        <v>114</v>
      </c>
      <c r="D66" s="337" t="s">
        <v>201</v>
      </c>
      <c r="E66" s="86"/>
      <c r="F66" s="306"/>
      <c r="G66" s="306"/>
      <c r="H66" s="306"/>
      <c r="I66" s="86"/>
      <c r="J66" s="86"/>
      <c r="K66" s="306"/>
      <c r="L66" s="307"/>
      <c r="M66" s="307"/>
      <c r="N66" s="291"/>
      <c r="O66" s="77"/>
      <c r="P66" s="91"/>
      <c r="Q66" s="91"/>
      <c r="R66" s="91"/>
      <c r="S66" s="91"/>
      <c r="T66" s="220"/>
      <c r="U66" s="220"/>
      <c r="V66" s="900"/>
      <c r="W66" s="900"/>
      <c r="X66" s="91"/>
      <c r="Y66" s="72"/>
    </row>
    <row r="67" spans="1:25" ht="15.6">
      <c r="A67" s="335"/>
      <c r="B67" s="347">
        <v>5401</v>
      </c>
      <c r="C67" s="347" t="s">
        <v>115</v>
      </c>
      <c r="D67" s="337" t="s">
        <v>134</v>
      </c>
      <c r="E67" s="86"/>
      <c r="F67" s="306"/>
      <c r="G67" s="306"/>
      <c r="H67" s="306"/>
      <c r="I67" s="86"/>
      <c r="J67" s="86"/>
      <c r="K67" s="306"/>
      <c r="L67" s="307"/>
      <c r="M67" s="307"/>
      <c r="N67" s="291"/>
      <c r="O67" s="77"/>
      <c r="P67" s="91"/>
      <c r="Q67" s="91"/>
      <c r="R67" s="91"/>
      <c r="S67" s="91"/>
      <c r="T67" s="220"/>
      <c r="U67" s="220"/>
      <c r="V67" s="900"/>
      <c r="W67" s="900"/>
      <c r="X67" s="91"/>
      <c r="Y67" s="72"/>
    </row>
    <row r="68" spans="1:25">
      <c r="A68" s="345"/>
      <c r="B68" s="339">
        <v>5401001</v>
      </c>
      <c r="C68" s="339" t="s">
        <v>116</v>
      </c>
      <c r="D68" s="340" t="s">
        <v>202</v>
      </c>
      <c r="E68" s="90"/>
      <c r="F68" s="301"/>
      <c r="G68" s="96"/>
      <c r="H68" s="301"/>
      <c r="I68" s="90"/>
      <c r="J68" s="90"/>
      <c r="K68" s="301"/>
      <c r="L68" s="273"/>
      <c r="M68" s="89"/>
      <c r="N68" s="291"/>
      <c r="O68" s="77"/>
      <c r="P68" s="91"/>
      <c r="Q68" s="91"/>
      <c r="R68" s="91"/>
      <c r="S68" s="91"/>
      <c r="T68" s="220"/>
      <c r="U68" s="220"/>
      <c r="V68" s="899"/>
      <c r="W68" s="899"/>
      <c r="X68" s="91"/>
      <c r="Y68" s="72"/>
    </row>
    <row r="69" spans="1:25" ht="27.6">
      <c r="A69" s="320"/>
      <c r="B69" s="322">
        <v>54010010002</v>
      </c>
      <c r="C69" s="322" t="s">
        <v>117</v>
      </c>
      <c r="D69" s="276" t="s">
        <v>342</v>
      </c>
      <c r="E69" s="105"/>
      <c r="F69" s="72"/>
      <c r="G69" s="116"/>
      <c r="H69" s="116"/>
      <c r="I69" s="105"/>
      <c r="J69" s="105"/>
      <c r="K69" s="116"/>
      <c r="L69" s="116"/>
      <c r="M69" s="307"/>
      <c r="N69" s="291"/>
      <c r="O69" s="77"/>
      <c r="P69" s="91"/>
      <c r="Q69" s="91"/>
      <c r="R69" s="91"/>
      <c r="S69" s="91"/>
      <c r="T69" s="220"/>
      <c r="U69" s="220"/>
      <c r="V69" s="898"/>
      <c r="W69" s="898"/>
      <c r="X69" s="91"/>
      <c r="Y69" s="72"/>
    </row>
    <row r="70" spans="1:25">
      <c r="A70" s="2991">
        <v>4132</v>
      </c>
      <c r="B70" s="2984"/>
      <c r="C70" s="2984" t="s">
        <v>123</v>
      </c>
      <c r="D70" s="2985" t="s">
        <v>343</v>
      </c>
      <c r="E70" s="142" t="s">
        <v>203</v>
      </c>
      <c r="F70" s="281"/>
      <c r="G70" s="95"/>
      <c r="H70" s="92"/>
      <c r="I70" s="115"/>
      <c r="J70" s="115"/>
      <c r="K70" s="92">
        <f>K73</f>
        <v>1</v>
      </c>
      <c r="L70" s="305">
        <f>+L71+L72+L73</f>
        <v>1</v>
      </c>
      <c r="M70" s="267">
        <f>+M71+M72++M73</f>
        <v>0</v>
      </c>
      <c r="N70" s="99">
        <f>+N71+N72+N73</f>
        <v>0</v>
      </c>
      <c r="O70" s="2996">
        <f>IF(Q70&gt;0,N70,"NA")</f>
        <v>0</v>
      </c>
      <c r="P70" s="151">
        <f>+P71+P72+P73+P76</f>
        <v>100000000</v>
      </c>
      <c r="Q70" s="151">
        <f>+Q71+Q72+Q73+Q76</f>
        <v>100000000</v>
      </c>
      <c r="R70" s="151">
        <f>+R71+R72+R73+R76</f>
        <v>0</v>
      </c>
      <c r="S70" s="151">
        <f>+S71+S72+S73+S76</f>
        <v>0</v>
      </c>
      <c r="T70" s="77">
        <f t="shared" ref="T70:U73" si="5">+IF(Q70=0,0,R70/Q70)</f>
        <v>0</v>
      </c>
      <c r="U70" s="77">
        <f t="shared" si="5"/>
        <v>0</v>
      </c>
      <c r="V70" s="896"/>
      <c r="W70" s="897"/>
      <c r="X70" s="91"/>
      <c r="Y70" s="2988" t="s">
        <v>169</v>
      </c>
    </row>
    <row r="71" spans="1:25" ht="39.6">
      <c r="A71" s="2991"/>
      <c r="B71" s="2984"/>
      <c r="C71" s="2984"/>
      <c r="D71" s="2985"/>
      <c r="E71" s="115" t="s">
        <v>413</v>
      </c>
      <c r="F71" s="281"/>
      <c r="G71" s="95"/>
      <c r="H71" s="92"/>
      <c r="I71" s="115" t="s">
        <v>414</v>
      </c>
      <c r="J71" s="115" t="s">
        <v>124</v>
      </c>
      <c r="K71" s="92">
        <v>1</v>
      </c>
      <c r="L71" s="305">
        <v>0.6</v>
      </c>
      <c r="M71" s="267">
        <v>0</v>
      </c>
      <c r="N71" s="99">
        <v>0</v>
      </c>
      <c r="O71" s="2997"/>
      <c r="P71" s="151">
        <v>60000000</v>
      </c>
      <c r="Q71" s="151">
        <v>60000000</v>
      </c>
      <c r="R71" s="151">
        <v>0</v>
      </c>
      <c r="S71" s="151">
        <v>0</v>
      </c>
      <c r="T71" s="77">
        <f t="shared" si="5"/>
        <v>0</v>
      </c>
      <c r="U71" s="77">
        <f t="shared" si="5"/>
        <v>0</v>
      </c>
      <c r="V71" s="896"/>
      <c r="W71" s="897"/>
      <c r="X71" s="91"/>
      <c r="Y71" s="2989"/>
    </row>
    <row r="72" spans="1:25" ht="79.2">
      <c r="A72" s="2991"/>
      <c r="B72" s="2984"/>
      <c r="C72" s="2984"/>
      <c r="D72" s="2985"/>
      <c r="E72" s="115" t="s">
        <v>296</v>
      </c>
      <c r="F72" s="281"/>
      <c r="G72" s="95" t="s">
        <v>342</v>
      </c>
      <c r="H72" s="92"/>
      <c r="I72" s="115" t="s">
        <v>415</v>
      </c>
      <c r="J72" s="115" t="s">
        <v>136</v>
      </c>
      <c r="K72" s="92">
        <v>1</v>
      </c>
      <c r="L72" s="305">
        <v>0.1</v>
      </c>
      <c r="M72" s="267">
        <v>0</v>
      </c>
      <c r="N72" s="99">
        <v>0</v>
      </c>
      <c r="O72" s="2997"/>
      <c r="P72" s="151">
        <v>10000000</v>
      </c>
      <c r="Q72" s="151">
        <v>10000000</v>
      </c>
      <c r="R72" s="151">
        <v>0</v>
      </c>
      <c r="S72" s="151">
        <v>0</v>
      </c>
      <c r="T72" s="77">
        <f t="shared" si="5"/>
        <v>0</v>
      </c>
      <c r="U72" s="77">
        <f t="shared" si="5"/>
        <v>0</v>
      </c>
      <c r="V72" s="896"/>
      <c r="W72" s="897"/>
      <c r="X72" s="91"/>
      <c r="Y72" s="2989"/>
    </row>
    <row r="73" spans="1:25" ht="26.4">
      <c r="A73" s="2991"/>
      <c r="B73" s="2984"/>
      <c r="C73" s="2984"/>
      <c r="D73" s="2985"/>
      <c r="E73" s="153" t="s">
        <v>416</v>
      </c>
      <c r="F73" s="281"/>
      <c r="G73" s="115"/>
      <c r="H73" s="92"/>
      <c r="I73" s="115" t="s">
        <v>417</v>
      </c>
      <c r="J73" s="115" t="s">
        <v>188</v>
      </c>
      <c r="K73" s="92">
        <v>1</v>
      </c>
      <c r="L73" s="283">
        <v>0.3</v>
      </c>
      <c r="M73" s="281">
        <v>0</v>
      </c>
      <c r="N73" s="99">
        <v>0</v>
      </c>
      <c r="O73" s="2998"/>
      <c r="P73" s="151">
        <v>30000000</v>
      </c>
      <c r="Q73" s="151">
        <v>30000000</v>
      </c>
      <c r="R73" s="151">
        <v>0</v>
      </c>
      <c r="S73" s="151">
        <v>0</v>
      </c>
      <c r="T73" s="77">
        <f t="shared" si="5"/>
        <v>0</v>
      </c>
      <c r="U73" s="77">
        <f t="shared" si="5"/>
        <v>0</v>
      </c>
      <c r="V73" s="896"/>
      <c r="W73" s="897"/>
      <c r="X73" s="207"/>
      <c r="Y73" s="2989"/>
    </row>
    <row r="74" spans="1:25" ht="14.4">
      <c r="A74" s="2993">
        <v>4132</v>
      </c>
      <c r="B74" s="2993"/>
      <c r="C74" s="3001" t="s">
        <v>123</v>
      </c>
      <c r="D74" s="2985" t="s">
        <v>418</v>
      </c>
      <c r="E74" s="74" t="s">
        <v>419</v>
      </c>
      <c r="F74" s="281"/>
      <c r="G74" s="115"/>
      <c r="H74" s="92"/>
      <c r="I74" s="115"/>
      <c r="J74" s="115"/>
      <c r="K74" s="92"/>
      <c r="L74" s="283">
        <v>1</v>
      </c>
      <c r="M74" s="281">
        <f>+M75</f>
        <v>0</v>
      </c>
      <c r="N74" s="99">
        <f>+N75</f>
        <v>0</v>
      </c>
      <c r="O74" s="2986">
        <f>IF(Q74&gt;0,N74,"NA")</f>
        <v>0</v>
      </c>
      <c r="P74" s="151">
        <f>+P75</f>
        <v>200000000</v>
      </c>
      <c r="Q74" s="151">
        <f>+Q75</f>
        <v>200000000</v>
      </c>
      <c r="R74" s="151">
        <f>+R75</f>
        <v>24252000</v>
      </c>
      <c r="S74" s="151">
        <f>+S75</f>
        <v>8084000</v>
      </c>
      <c r="T74" s="77"/>
      <c r="U74" s="77"/>
      <c r="V74" s="896"/>
      <c r="W74" s="897"/>
      <c r="X74" s="207"/>
      <c r="Y74" s="308"/>
    </row>
    <row r="75" spans="1:25" ht="105.6">
      <c r="A75" s="2993"/>
      <c r="B75" s="2993"/>
      <c r="C75" s="3001"/>
      <c r="D75" s="2985"/>
      <c r="E75" s="153" t="s">
        <v>420</v>
      </c>
      <c r="F75" s="281"/>
      <c r="G75" s="115" t="s">
        <v>364</v>
      </c>
      <c r="H75" s="92"/>
      <c r="I75" s="115" t="s">
        <v>394</v>
      </c>
      <c r="J75" s="115" t="s">
        <v>207</v>
      </c>
      <c r="K75" s="92">
        <v>1</v>
      </c>
      <c r="L75" s="283">
        <v>1</v>
      </c>
      <c r="M75" s="281">
        <v>0</v>
      </c>
      <c r="N75" s="99">
        <v>0</v>
      </c>
      <c r="O75" s="2987"/>
      <c r="P75" s="151">
        <v>200000000</v>
      </c>
      <c r="Q75" s="151">
        <v>200000000</v>
      </c>
      <c r="R75" s="151">
        <v>24252000</v>
      </c>
      <c r="S75" s="151">
        <v>8084000</v>
      </c>
      <c r="T75" s="77">
        <f>+IF(Q75=0,0,R75/Q75)</f>
        <v>0.12126000000000001</v>
      </c>
      <c r="U75" s="77">
        <f>+IF(R75=0,0,S75/R75)</f>
        <v>0.33333333333333331</v>
      </c>
      <c r="V75" s="896">
        <v>45314</v>
      </c>
      <c r="W75" s="897">
        <v>45657</v>
      </c>
      <c r="X75" s="207" t="s">
        <v>421</v>
      </c>
      <c r="Y75" s="142" t="s">
        <v>169</v>
      </c>
    </row>
    <row r="76" spans="1:25" ht="27.6">
      <c r="A76" s="349"/>
      <c r="B76" s="275">
        <v>54010010004</v>
      </c>
      <c r="C76" s="275" t="s">
        <v>117</v>
      </c>
      <c r="D76" s="317" t="s">
        <v>364</v>
      </c>
      <c r="E76" s="116"/>
      <c r="F76" s="116"/>
      <c r="G76" s="116"/>
      <c r="H76" s="116"/>
      <c r="I76" s="272"/>
      <c r="J76" s="272"/>
      <c r="K76" s="272"/>
      <c r="L76" s="272"/>
      <c r="M76" s="272"/>
      <c r="N76" s="303"/>
      <c r="O76" s="303"/>
      <c r="P76" s="272"/>
      <c r="Q76" s="272"/>
      <c r="R76" s="272"/>
      <c r="S76" s="272"/>
      <c r="T76" s="272"/>
      <c r="U76" s="272"/>
      <c r="V76" s="73"/>
      <c r="W76" s="272"/>
      <c r="X76" s="272"/>
      <c r="Y76" s="272"/>
    </row>
    <row r="77" spans="1:25">
      <c r="A77" s="2984">
        <v>4132</v>
      </c>
      <c r="B77" s="2999"/>
      <c r="C77" s="2988" t="s">
        <v>123</v>
      </c>
      <c r="D77" s="2995" t="s">
        <v>365</v>
      </c>
      <c r="E77" s="142" t="s">
        <v>366</v>
      </c>
      <c r="F77" s="281"/>
      <c r="G77" s="95"/>
      <c r="H77" s="92"/>
      <c r="I77" s="115"/>
      <c r="J77" s="115"/>
      <c r="K77" s="92">
        <f>K78</f>
        <v>2</v>
      </c>
      <c r="L77" s="305">
        <f>+L78</f>
        <v>1</v>
      </c>
      <c r="M77" s="267">
        <f>+M78</f>
        <v>0</v>
      </c>
      <c r="N77" s="99">
        <f>+N78</f>
        <v>2E-3</v>
      </c>
      <c r="O77" s="2986">
        <f>IF(Q77&gt;0,N77,"NA")</f>
        <v>2E-3</v>
      </c>
      <c r="P77" s="151">
        <f>P78</f>
        <v>1000000000</v>
      </c>
      <c r="Q77" s="151">
        <f>+Q78</f>
        <v>1000000000</v>
      </c>
      <c r="R77" s="151">
        <f>+R78</f>
        <v>453453000</v>
      </c>
      <c r="S77" s="151">
        <f>+S78</f>
        <v>201126999</v>
      </c>
      <c r="T77" s="77">
        <f>+IF(Q77=0,0,R77/Q77)</f>
        <v>0.45345299999999999</v>
      </c>
      <c r="U77" s="77">
        <f>+IF(R77=0,0,S77/R77)</f>
        <v>0.44354541485005061</v>
      </c>
      <c r="V77" s="896"/>
      <c r="W77" s="897"/>
      <c r="X77" s="91"/>
      <c r="Y77" s="2988" t="s">
        <v>169</v>
      </c>
    </row>
    <row r="78" spans="1:25" ht="105.6">
      <c r="A78" s="2984"/>
      <c r="B78" s="2999"/>
      <c r="C78" s="2988"/>
      <c r="D78" s="3000"/>
      <c r="E78" s="153" t="s">
        <v>367</v>
      </c>
      <c r="F78" s="281"/>
      <c r="G78" s="115" t="s">
        <v>364</v>
      </c>
      <c r="H78" s="92"/>
      <c r="I78" s="115" t="s">
        <v>422</v>
      </c>
      <c r="J78" s="115" t="s">
        <v>188</v>
      </c>
      <c r="K78" s="92">
        <v>2</v>
      </c>
      <c r="L78" s="283">
        <v>1</v>
      </c>
      <c r="M78" s="281">
        <v>0</v>
      </c>
      <c r="N78" s="99">
        <v>2E-3</v>
      </c>
      <c r="O78" s="2987"/>
      <c r="P78" s="151">
        <v>1000000000</v>
      </c>
      <c r="Q78" s="151">
        <v>1000000000</v>
      </c>
      <c r="R78" s="151">
        <v>453453000</v>
      </c>
      <c r="S78" s="151">
        <v>201126999</v>
      </c>
      <c r="T78" s="77">
        <f>+IF(Q78=0,0,R78/Q78)</f>
        <v>0.45345299999999999</v>
      </c>
      <c r="U78" s="77">
        <f>+IF(R78=0,0,S78/R78)</f>
        <v>0.44354541485005061</v>
      </c>
      <c r="V78" s="896">
        <v>45340</v>
      </c>
      <c r="W78" s="897">
        <v>45657</v>
      </c>
      <c r="X78" s="207" t="s">
        <v>423</v>
      </c>
      <c r="Y78" s="2989"/>
    </row>
    <row r="79" spans="1:25" ht="15.6">
      <c r="A79" s="322"/>
      <c r="B79" s="322">
        <v>54010010005</v>
      </c>
      <c r="C79" s="322" t="s">
        <v>117</v>
      </c>
      <c r="D79" s="276" t="s">
        <v>280</v>
      </c>
      <c r="E79" s="105"/>
      <c r="F79" s="72"/>
      <c r="G79" s="116"/>
      <c r="H79" s="116"/>
      <c r="I79" s="116"/>
      <c r="J79" s="116"/>
      <c r="K79" s="116"/>
      <c r="L79" s="116"/>
      <c r="M79" s="307"/>
      <c r="N79" s="291"/>
      <c r="O79" s="77"/>
      <c r="P79" s="91"/>
      <c r="Q79" s="91"/>
      <c r="R79" s="91"/>
      <c r="S79" s="91"/>
      <c r="T79" s="220"/>
      <c r="U79" s="220"/>
      <c r="V79" s="898"/>
      <c r="W79" s="898"/>
      <c r="X79" s="91"/>
      <c r="Y79" s="72"/>
    </row>
    <row r="80" spans="1:25">
      <c r="A80" s="2991">
        <v>4132</v>
      </c>
      <c r="B80" s="2984"/>
      <c r="C80" s="2984" t="s">
        <v>123</v>
      </c>
      <c r="D80" s="2985" t="s">
        <v>281</v>
      </c>
      <c r="E80" s="142" t="s">
        <v>282</v>
      </c>
      <c r="F80" s="281"/>
      <c r="G80" s="95"/>
      <c r="H80" s="92"/>
      <c r="I80" s="115"/>
      <c r="J80" s="115"/>
      <c r="K80" s="92">
        <f>K81</f>
        <v>1</v>
      </c>
      <c r="L80" s="305">
        <v>1</v>
      </c>
      <c r="M80" s="267">
        <f>M81</f>
        <v>0</v>
      </c>
      <c r="N80" s="99">
        <f>N81</f>
        <v>5.0000000000000001E-3</v>
      </c>
      <c r="O80" s="2986">
        <f>IF(Q80&gt;0,N80,"NA")</f>
        <v>5.0000000000000001E-3</v>
      </c>
      <c r="P80" s="151">
        <f>P81</f>
        <v>500000000</v>
      </c>
      <c r="Q80" s="151">
        <f>Q81</f>
        <v>500000000</v>
      </c>
      <c r="R80" s="151">
        <f>R81</f>
        <v>31386000</v>
      </c>
      <c r="S80" s="151">
        <f>S81</f>
        <v>10462000</v>
      </c>
      <c r="T80" s="77">
        <f>+IF(Q80=0,0,R80/Q80)</f>
        <v>6.2771999999999994E-2</v>
      </c>
      <c r="U80" s="77">
        <f>+IF(R80=0,0,S80/R80)</f>
        <v>0.33333333333333331</v>
      </c>
      <c r="V80" s="896"/>
      <c r="W80" s="897"/>
      <c r="X80" s="91"/>
      <c r="Y80" s="2988" t="s">
        <v>169</v>
      </c>
    </row>
    <row r="81" spans="1:25" ht="79.2">
      <c r="A81" s="2991"/>
      <c r="B81" s="2984"/>
      <c r="C81" s="2984"/>
      <c r="D81" s="2985"/>
      <c r="E81" s="153" t="s">
        <v>297</v>
      </c>
      <c r="F81" s="281"/>
      <c r="G81" s="115" t="s">
        <v>280</v>
      </c>
      <c r="H81" s="92"/>
      <c r="I81" s="115" t="s">
        <v>394</v>
      </c>
      <c r="J81" s="115" t="s">
        <v>207</v>
      </c>
      <c r="K81" s="92">
        <v>1</v>
      </c>
      <c r="L81" s="283">
        <v>1</v>
      </c>
      <c r="M81" s="281">
        <v>0</v>
      </c>
      <c r="N81" s="99">
        <v>5.0000000000000001E-3</v>
      </c>
      <c r="O81" s="2987"/>
      <c r="P81" s="151">
        <v>500000000</v>
      </c>
      <c r="Q81" s="151">
        <v>500000000</v>
      </c>
      <c r="R81" s="151">
        <v>31386000</v>
      </c>
      <c r="S81" s="151">
        <v>10462000</v>
      </c>
      <c r="T81" s="77">
        <f>+IF(Q81=0,0,R81/Q81)</f>
        <v>6.2771999999999994E-2</v>
      </c>
      <c r="U81" s="77">
        <f>+IF(R81=0,0,S81/R81)</f>
        <v>0.33333333333333331</v>
      </c>
      <c r="V81" s="896">
        <v>45349</v>
      </c>
      <c r="W81" s="897">
        <v>45657</v>
      </c>
      <c r="X81" s="270" t="s">
        <v>424</v>
      </c>
      <c r="Y81" s="2989"/>
    </row>
    <row r="82" spans="1:25" ht="15.6">
      <c r="A82" s="320"/>
      <c r="B82" s="322">
        <v>54010010006</v>
      </c>
      <c r="C82" s="322" t="s">
        <v>117</v>
      </c>
      <c r="D82" s="276" t="s">
        <v>204</v>
      </c>
      <c r="E82" s="105"/>
      <c r="F82" s="101"/>
      <c r="G82" s="116"/>
      <c r="H82" s="91"/>
      <c r="I82" s="105"/>
      <c r="J82" s="105"/>
      <c r="K82" s="116"/>
      <c r="L82" s="116"/>
      <c r="M82" s="307"/>
      <c r="N82" s="291"/>
      <c r="O82" s="77"/>
      <c r="P82" s="91"/>
      <c r="Q82" s="91"/>
      <c r="R82" s="91"/>
      <c r="S82" s="91"/>
      <c r="T82" s="220"/>
      <c r="U82" s="220"/>
      <c r="V82" s="898"/>
      <c r="W82" s="898"/>
      <c r="X82" s="91"/>
      <c r="Y82" s="72"/>
    </row>
    <row r="83" spans="1:25">
      <c r="A83" s="2991">
        <v>4132</v>
      </c>
      <c r="B83" s="2984"/>
      <c r="C83" s="2984" t="s">
        <v>123</v>
      </c>
      <c r="D83" s="2985" t="s">
        <v>205</v>
      </c>
      <c r="E83" s="142" t="s">
        <v>206</v>
      </c>
      <c r="F83" s="92"/>
      <c r="G83" s="95"/>
      <c r="H83" s="149"/>
      <c r="I83" s="115"/>
      <c r="J83" s="115"/>
      <c r="K83" s="350">
        <f>+K85</f>
        <v>4</v>
      </c>
      <c r="L83" s="351">
        <f>+L84+L85+L86</f>
        <v>1</v>
      </c>
      <c r="M83" s="352">
        <f>+M84+M85+M86</f>
        <v>0</v>
      </c>
      <c r="N83" s="353">
        <f>+N84+N85+N86</f>
        <v>0</v>
      </c>
      <c r="O83" s="3002">
        <f>IF(Q83&gt;0,N83,"NA")</f>
        <v>0</v>
      </c>
      <c r="P83" s="354">
        <f>+P84+P85+P86</f>
        <v>300000000</v>
      </c>
      <c r="Q83" s="354">
        <f>Q86+Q84+Q85</f>
        <v>300000000</v>
      </c>
      <c r="R83" s="354">
        <f>R86</f>
        <v>0</v>
      </c>
      <c r="S83" s="354">
        <f>S86</f>
        <v>0</v>
      </c>
      <c r="T83" s="355">
        <f t="shared" ref="T83:U86" si="6">+IF(Q83=0,0,R83/Q83)</f>
        <v>0</v>
      </c>
      <c r="U83" s="355">
        <f t="shared" si="6"/>
        <v>0</v>
      </c>
      <c r="V83" s="901"/>
      <c r="W83" s="902"/>
      <c r="X83" s="356"/>
      <c r="Y83" s="3003" t="s">
        <v>169</v>
      </c>
    </row>
    <row r="84" spans="1:25" ht="52.8">
      <c r="A84" s="2991"/>
      <c r="B84" s="2984"/>
      <c r="C84" s="2984"/>
      <c r="D84" s="2985"/>
      <c r="E84" s="115" t="s">
        <v>425</v>
      </c>
      <c r="F84" s="92"/>
      <c r="G84" s="95"/>
      <c r="H84" s="149"/>
      <c r="I84" s="115" t="s">
        <v>426</v>
      </c>
      <c r="J84" s="115" t="s">
        <v>427</v>
      </c>
      <c r="K84" s="350">
        <v>1</v>
      </c>
      <c r="L84" s="351">
        <v>0.33</v>
      </c>
      <c r="M84" s="352">
        <v>0</v>
      </c>
      <c r="N84" s="353">
        <v>0</v>
      </c>
      <c r="O84" s="2987"/>
      <c r="P84" s="354">
        <v>213960000</v>
      </c>
      <c r="Q84" s="354">
        <v>213960000</v>
      </c>
      <c r="R84" s="354">
        <v>0</v>
      </c>
      <c r="S84" s="354">
        <v>0</v>
      </c>
      <c r="T84" s="355">
        <f t="shared" si="6"/>
        <v>0</v>
      </c>
      <c r="U84" s="355">
        <f t="shared" si="6"/>
        <v>0</v>
      </c>
      <c r="V84" s="901"/>
      <c r="W84" s="902"/>
      <c r="X84" s="356"/>
      <c r="Y84" s="2989"/>
    </row>
    <row r="85" spans="1:25" ht="118.8">
      <c r="A85" s="2991"/>
      <c r="B85" s="2984"/>
      <c r="C85" s="2984"/>
      <c r="D85" s="2985"/>
      <c r="E85" s="115" t="s">
        <v>298</v>
      </c>
      <c r="F85" s="92"/>
      <c r="G85" s="95" t="s">
        <v>204</v>
      </c>
      <c r="H85" s="149"/>
      <c r="I85" s="115" t="s">
        <v>428</v>
      </c>
      <c r="J85" s="115" t="s">
        <v>207</v>
      </c>
      <c r="K85" s="350">
        <v>4</v>
      </c>
      <c r="L85" s="351">
        <v>0.33</v>
      </c>
      <c r="M85" s="352">
        <v>0</v>
      </c>
      <c r="N85" s="353">
        <v>0</v>
      </c>
      <c r="O85" s="2987"/>
      <c r="P85" s="354">
        <v>40000000</v>
      </c>
      <c r="Q85" s="354">
        <v>40000000</v>
      </c>
      <c r="R85" s="354">
        <v>0</v>
      </c>
      <c r="S85" s="354">
        <v>0</v>
      </c>
      <c r="T85" s="355">
        <f t="shared" si="6"/>
        <v>0</v>
      </c>
      <c r="U85" s="355">
        <f t="shared" si="6"/>
        <v>0</v>
      </c>
      <c r="V85" s="901"/>
      <c r="W85" s="902"/>
      <c r="X85" s="356"/>
      <c r="Y85" s="2989"/>
    </row>
    <row r="86" spans="1:25" ht="39.6">
      <c r="A86" s="2991"/>
      <c r="B86" s="2984"/>
      <c r="C86" s="2984"/>
      <c r="D86" s="2985"/>
      <c r="E86" s="153" t="s">
        <v>429</v>
      </c>
      <c r="F86" s="281"/>
      <c r="G86" s="95"/>
      <c r="H86" s="149"/>
      <c r="I86" s="115" t="s">
        <v>430</v>
      </c>
      <c r="J86" s="115" t="s">
        <v>431</v>
      </c>
      <c r="K86" s="350">
        <v>1</v>
      </c>
      <c r="L86" s="351">
        <v>0.34</v>
      </c>
      <c r="M86" s="357">
        <v>0</v>
      </c>
      <c r="N86" s="353">
        <v>0</v>
      </c>
      <c r="O86" s="2987"/>
      <c r="P86" s="354">
        <v>46040000</v>
      </c>
      <c r="Q86" s="354">
        <v>46040000</v>
      </c>
      <c r="R86" s="354">
        <v>0</v>
      </c>
      <c r="S86" s="354">
        <v>0</v>
      </c>
      <c r="T86" s="355">
        <f t="shared" si="6"/>
        <v>0</v>
      </c>
      <c r="U86" s="355">
        <f t="shared" si="6"/>
        <v>0</v>
      </c>
      <c r="V86" s="901"/>
      <c r="W86" s="902"/>
      <c r="X86" s="286"/>
      <c r="Y86" s="2989"/>
    </row>
    <row r="87" spans="1:25" ht="27.6">
      <c r="A87" s="345"/>
      <c r="B87" s="339">
        <v>5402002</v>
      </c>
      <c r="C87" s="339" t="s">
        <v>116</v>
      </c>
      <c r="D87" s="340" t="s">
        <v>344</v>
      </c>
      <c r="E87" s="90"/>
      <c r="F87" s="301"/>
      <c r="G87" s="90"/>
      <c r="H87" s="301"/>
      <c r="I87" s="90"/>
      <c r="J87" s="90"/>
      <c r="K87" s="301"/>
      <c r="L87" s="311"/>
      <c r="M87" s="307"/>
      <c r="N87" s="291"/>
      <c r="O87" s="77"/>
      <c r="P87" s="91"/>
      <c r="Q87" s="91"/>
      <c r="R87" s="91"/>
      <c r="S87" s="91"/>
      <c r="T87" s="220"/>
      <c r="U87" s="220"/>
      <c r="V87" s="899"/>
      <c r="W87" s="899"/>
      <c r="X87" s="91"/>
      <c r="Y87" s="72"/>
    </row>
    <row r="88" spans="1:25" ht="27.6">
      <c r="A88" s="322"/>
      <c r="B88" s="275">
        <v>54020020002</v>
      </c>
      <c r="C88" s="275" t="s">
        <v>117</v>
      </c>
      <c r="D88" s="276" t="s">
        <v>209</v>
      </c>
      <c r="E88" s="105"/>
      <c r="F88" s="94"/>
      <c r="G88" s="105"/>
      <c r="H88" s="91"/>
      <c r="I88" s="105"/>
      <c r="J88" s="105"/>
      <c r="K88" s="72"/>
      <c r="L88" s="91"/>
      <c r="M88" s="89"/>
      <c r="N88" s="291"/>
      <c r="O88" s="77"/>
      <c r="P88" s="91"/>
      <c r="Q88" s="91"/>
      <c r="R88" s="91"/>
      <c r="S88" s="91"/>
      <c r="T88" s="220"/>
      <c r="U88" s="220"/>
      <c r="V88" s="294"/>
      <c r="W88" s="294"/>
      <c r="X88" s="91"/>
      <c r="Y88" s="72"/>
    </row>
    <row r="89" spans="1:25">
      <c r="A89" s="2991">
        <v>4132</v>
      </c>
      <c r="B89" s="2984"/>
      <c r="C89" s="2984" t="s">
        <v>123</v>
      </c>
      <c r="D89" s="2985" t="s">
        <v>210</v>
      </c>
      <c r="E89" s="142" t="s">
        <v>211</v>
      </c>
      <c r="F89" s="92"/>
      <c r="G89" s="142"/>
      <c r="H89" s="92"/>
      <c r="I89" s="153"/>
      <c r="J89" s="115"/>
      <c r="K89" s="92">
        <v>12</v>
      </c>
      <c r="L89" s="283">
        <f>L90+L91</f>
        <v>1</v>
      </c>
      <c r="M89" s="267">
        <f>M90+M91</f>
        <v>0</v>
      </c>
      <c r="N89" s="99">
        <f>N90+N91</f>
        <v>0.22800000000000001</v>
      </c>
      <c r="O89" s="2986">
        <f>IF(Q89&gt;0,N89,"na")</f>
        <v>0.22800000000000001</v>
      </c>
      <c r="P89" s="151">
        <f>P90+P91</f>
        <v>399038204</v>
      </c>
      <c r="Q89" s="151">
        <f>Q90+Q91</f>
        <v>399038204</v>
      </c>
      <c r="R89" s="151">
        <f>R90+R91</f>
        <v>40454000</v>
      </c>
      <c r="S89" s="151">
        <f>S90+S91</f>
        <v>20957000</v>
      </c>
      <c r="T89" s="77">
        <f t="shared" ref="T89:U94" si="7">+IF(Q89=0,0,R89/Q89)</f>
        <v>0.10137876422479086</v>
      </c>
      <c r="U89" s="77">
        <f t="shared" si="7"/>
        <v>0.51804518712611858</v>
      </c>
      <c r="V89" s="896"/>
      <c r="W89" s="897"/>
      <c r="X89" s="91"/>
      <c r="Y89" s="2988" t="s">
        <v>208</v>
      </c>
    </row>
    <row r="90" spans="1:25" ht="39.6">
      <c r="A90" s="2991"/>
      <c r="B90" s="2984"/>
      <c r="C90" s="2984"/>
      <c r="D90" s="2985"/>
      <c r="E90" s="95" t="s">
        <v>299</v>
      </c>
      <c r="F90" s="2992"/>
      <c r="G90" s="95"/>
      <c r="H90" s="76"/>
      <c r="I90" s="115" t="s">
        <v>432</v>
      </c>
      <c r="J90" s="115" t="s">
        <v>135</v>
      </c>
      <c r="K90" s="92">
        <v>1</v>
      </c>
      <c r="L90" s="283">
        <v>0.05</v>
      </c>
      <c r="M90" s="281">
        <v>0</v>
      </c>
      <c r="N90" s="99">
        <v>0</v>
      </c>
      <c r="O90" s="2987"/>
      <c r="P90" s="281">
        <v>85000000</v>
      </c>
      <c r="Q90" s="151">
        <v>85000000</v>
      </c>
      <c r="R90" s="151">
        <v>0</v>
      </c>
      <c r="S90" s="151">
        <v>0</v>
      </c>
      <c r="T90" s="77">
        <f t="shared" si="7"/>
        <v>0</v>
      </c>
      <c r="U90" s="77">
        <f t="shared" si="7"/>
        <v>0</v>
      </c>
      <c r="V90" s="896"/>
      <c r="W90" s="897"/>
      <c r="X90" s="207"/>
      <c r="Y90" s="2989"/>
    </row>
    <row r="91" spans="1:25" ht="66">
      <c r="A91" s="2991"/>
      <c r="B91" s="2984"/>
      <c r="C91" s="2984"/>
      <c r="D91" s="2985"/>
      <c r="E91" s="95" t="s">
        <v>300</v>
      </c>
      <c r="F91" s="2989"/>
      <c r="G91" s="95" t="s">
        <v>209</v>
      </c>
      <c r="H91" s="93"/>
      <c r="I91" s="115" t="s">
        <v>433</v>
      </c>
      <c r="J91" s="115" t="s">
        <v>212</v>
      </c>
      <c r="K91" s="92">
        <v>12</v>
      </c>
      <c r="L91" s="283">
        <v>0.95</v>
      </c>
      <c r="M91" s="281">
        <v>0</v>
      </c>
      <c r="N91" s="99">
        <v>0.22800000000000001</v>
      </c>
      <c r="O91" s="2987"/>
      <c r="P91" s="281">
        <v>314038204</v>
      </c>
      <c r="Q91" s="151">
        <v>314038204</v>
      </c>
      <c r="R91" s="151">
        <v>40454000</v>
      </c>
      <c r="S91" s="151">
        <v>20957000</v>
      </c>
      <c r="T91" s="77">
        <f t="shared" si="7"/>
        <v>0.12881872168648628</v>
      </c>
      <c r="U91" s="77">
        <f t="shared" si="7"/>
        <v>0.51804518712611858</v>
      </c>
      <c r="V91" s="896">
        <v>45309</v>
      </c>
      <c r="W91" s="897">
        <v>45657</v>
      </c>
      <c r="X91" s="207" t="s">
        <v>434</v>
      </c>
      <c r="Y91" s="2989"/>
    </row>
    <row r="92" spans="1:25">
      <c r="A92" s="2993">
        <v>4132</v>
      </c>
      <c r="B92" s="2993"/>
      <c r="C92" s="2993" t="s">
        <v>123</v>
      </c>
      <c r="D92" s="2994" t="s">
        <v>435</v>
      </c>
      <c r="E92" s="142" t="s">
        <v>436</v>
      </c>
      <c r="F92" s="301"/>
      <c r="G92" s="95"/>
      <c r="H92" s="93"/>
      <c r="I92" s="115"/>
      <c r="J92" s="115"/>
      <c r="K92" s="92">
        <f>+K93</f>
        <v>38</v>
      </c>
      <c r="L92" s="283">
        <f>+L93+L94</f>
        <v>1</v>
      </c>
      <c r="M92" s="283">
        <f>+M93+M94</f>
        <v>0</v>
      </c>
      <c r="N92" s="99">
        <f>+N93+N94</f>
        <v>0.28749999999999998</v>
      </c>
      <c r="O92" s="2986">
        <f>IF(Q92&gt;0,N92,"na")</f>
        <v>0.28749999999999998</v>
      </c>
      <c r="P92" s="151">
        <f>+P93+P94</f>
        <v>1205750000</v>
      </c>
      <c r="Q92" s="151">
        <f>+Q93+Q94</f>
        <v>1205750000</v>
      </c>
      <c r="R92" s="151">
        <f>+R93+R94</f>
        <v>675303500</v>
      </c>
      <c r="S92" s="151">
        <f>+S93+S94</f>
        <v>178713500</v>
      </c>
      <c r="T92" s="77">
        <f t="shared" si="7"/>
        <v>0.56006925150321374</v>
      </c>
      <c r="U92" s="77">
        <f t="shared" si="7"/>
        <v>0.26464174996871775</v>
      </c>
      <c r="V92" s="896"/>
      <c r="W92" s="897"/>
      <c r="X92" s="270"/>
      <c r="Y92" s="2988" t="s">
        <v>208</v>
      </c>
    </row>
    <row r="93" spans="1:25" ht="92.4">
      <c r="A93" s="2993"/>
      <c r="B93" s="2993"/>
      <c r="C93" s="2993"/>
      <c r="D93" s="2994"/>
      <c r="E93" s="115" t="s">
        <v>437</v>
      </c>
      <c r="F93" s="94"/>
      <c r="G93" s="95" t="s">
        <v>209</v>
      </c>
      <c r="H93" s="93"/>
      <c r="I93" s="95" t="s">
        <v>438</v>
      </c>
      <c r="J93" s="115" t="s">
        <v>439</v>
      </c>
      <c r="K93" s="92">
        <v>38</v>
      </c>
      <c r="L93" s="283">
        <v>0.8</v>
      </c>
      <c r="M93" s="281">
        <v>0</v>
      </c>
      <c r="N93" s="99">
        <v>0.2</v>
      </c>
      <c r="O93" s="2987"/>
      <c r="P93" s="151">
        <v>272000000</v>
      </c>
      <c r="Q93" s="151">
        <v>327987000</v>
      </c>
      <c r="R93" s="151">
        <v>116359000</v>
      </c>
      <c r="S93" s="151">
        <v>42248000</v>
      </c>
      <c r="T93" s="77">
        <f t="shared" si="7"/>
        <v>0.35476710967202968</v>
      </c>
      <c r="U93" s="77">
        <f t="shared" si="7"/>
        <v>0.36308321659691128</v>
      </c>
      <c r="V93" s="896">
        <v>45309</v>
      </c>
      <c r="W93" s="897">
        <v>45657</v>
      </c>
      <c r="X93" s="270" t="s">
        <v>440</v>
      </c>
      <c r="Y93" s="2989"/>
    </row>
    <row r="94" spans="1:25" ht="145.19999999999999">
      <c r="A94" s="2993"/>
      <c r="B94" s="2993"/>
      <c r="C94" s="2993"/>
      <c r="D94" s="2994"/>
      <c r="E94" s="95" t="s">
        <v>441</v>
      </c>
      <c r="F94" s="92"/>
      <c r="G94" s="95"/>
      <c r="H94" s="93"/>
      <c r="I94" s="115" t="s">
        <v>442</v>
      </c>
      <c r="J94" s="115" t="s">
        <v>443</v>
      </c>
      <c r="K94" s="92">
        <v>67</v>
      </c>
      <c r="L94" s="283">
        <v>0.2</v>
      </c>
      <c r="M94" s="281">
        <v>0</v>
      </c>
      <c r="N94" s="99">
        <v>8.7499999999999994E-2</v>
      </c>
      <c r="O94" s="2987"/>
      <c r="P94" s="151">
        <v>933750000</v>
      </c>
      <c r="Q94" s="151">
        <v>877763000</v>
      </c>
      <c r="R94" s="151">
        <v>558944500</v>
      </c>
      <c r="S94" s="151">
        <v>136465500</v>
      </c>
      <c r="T94" s="77">
        <f t="shared" si="7"/>
        <v>0.63678293571271516</v>
      </c>
      <c r="U94" s="77">
        <f t="shared" si="7"/>
        <v>0.2441485693123378</v>
      </c>
      <c r="V94" s="896">
        <v>45309</v>
      </c>
      <c r="W94" s="897">
        <v>45657</v>
      </c>
      <c r="X94" s="207" t="s">
        <v>444</v>
      </c>
      <c r="Y94" s="2989"/>
    </row>
    <row r="95" spans="1:25">
      <c r="A95" s="322"/>
      <c r="B95" s="275">
        <v>54020020003</v>
      </c>
      <c r="C95" s="275" t="s">
        <v>117</v>
      </c>
      <c r="D95" s="276" t="s">
        <v>213</v>
      </c>
      <c r="E95" s="105"/>
      <c r="F95" s="94"/>
      <c r="G95" s="105"/>
      <c r="H95" s="91"/>
      <c r="I95" s="105"/>
      <c r="J95" s="105"/>
      <c r="K95" s="72"/>
      <c r="L95" s="91"/>
      <c r="M95" s="91"/>
      <c r="N95" s="291"/>
      <c r="O95" s="77"/>
      <c r="P95" s="91"/>
      <c r="Q95" s="91"/>
      <c r="R95" s="91"/>
      <c r="S95" s="91"/>
      <c r="T95" s="220"/>
      <c r="U95" s="220"/>
      <c r="V95" s="294"/>
      <c r="W95" s="294"/>
      <c r="X95" s="91"/>
      <c r="Y95" s="72"/>
    </row>
    <row r="96" spans="1:25">
      <c r="A96" s="2991">
        <v>4132</v>
      </c>
      <c r="B96" s="2984"/>
      <c r="C96" s="2984" t="s">
        <v>123</v>
      </c>
      <c r="D96" s="2985" t="s">
        <v>214</v>
      </c>
      <c r="E96" s="142" t="s">
        <v>215</v>
      </c>
      <c r="F96" s="2992"/>
      <c r="G96" s="75"/>
      <c r="H96" s="93"/>
      <c r="I96" s="153"/>
      <c r="J96" s="115"/>
      <c r="K96" s="92">
        <f>K99</f>
        <v>1</v>
      </c>
      <c r="L96" s="283">
        <f>+L97+L98+L99</f>
        <v>1</v>
      </c>
      <c r="M96" s="267">
        <f>M97+M98+M99</f>
        <v>42</v>
      </c>
      <c r="N96" s="99">
        <f>N97+N98+N99</f>
        <v>0.21179999999999999</v>
      </c>
      <c r="O96" s="3004">
        <f>IF(Q96&gt;0,N96,"na")</f>
        <v>0.21179999999999999</v>
      </c>
      <c r="P96" s="151">
        <f>P97+P98+P99</f>
        <v>299712000</v>
      </c>
      <c r="Q96" s="151">
        <f>Q97+Q98+Q99</f>
        <v>299712000</v>
      </c>
      <c r="R96" s="151">
        <f>R97+R98+R99</f>
        <v>50060000</v>
      </c>
      <c r="S96" s="151">
        <f>S97+S98+S99</f>
        <v>13728000</v>
      </c>
      <c r="T96" s="77">
        <f t="shared" ref="T96:U99" si="8">+IF(Q96=0,0,R96/Q96)</f>
        <v>0.16702701259876149</v>
      </c>
      <c r="U96" s="77">
        <f t="shared" si="8"/>
        <v>0.27423092289252898</v>
      </c>
      <c r="V96" s="896"/>
      <c r="W96" s="897"/>
      <c r="X96" s="91"/>
      <c r="Y96" s="2988" t="s">
        <v>208</v>
      </c>
    </row>
    <row r="97" spans="1:25" ht="26.4">
      <c r="A97" s="2991"/>
      <c r="B97" s="2984"/>
      <c r="C97" s="2984"/>
      <c r="D97" s="2985"/>
      <c r="E97" s="115" t="s">
        <v>345</v>
      </c>
      <c r="F97" s="2989"/>
      <c r="G97" s="312"/>
      <c r="H97" s="93"/>
      <c r="I97" s="95" t="s">
        <v>445</v>
      </c>
      <c r="J97" s="115" t="s">
        <v>136</v>
      </c>
      <c r="K97" s="92">
        <v>2</v>
      </c>
      <c r="L97" s="283">
        <v>0.4</v>
      </c>
      <c r="M97" s="281">
        <v>0</v>
      </c>
      <c r="N97" s="99">
        <v>0</v>
      </c>
      <c r="O97" s="2987"/>
      <c r="P97" s="151">
        <v>79712000</v>
      </c>
      <c r="Q97" s="151">
        <v>79712000</v>
      </c>
      <c r="R97" s="151">
        <v>0</v>
      </c>
      <c r="S97" s="151">
        <v>0</v>
      </c>
      <c r="T97" s="77">
        <f t="shared" si="8"/>
        <v>0</v>
      </c>
      <c r="U97" s="77">
        <f t="shared" si="8"/>
        <v>0</v>
      </c>
      <c r="V97" s="896"/>
      <c r="W97" s="897"/>
      <c r="X97" s="207"/>
      <c r="Y97" s="2989"/>
    </row>
    <row r="98" spans="1:25" ht="171.6">
      <c r="A98" s="2991"/>
      <c r="B98" s="2984"/>
      <c r="C98" s="2984"/>
      <c r="D98" s="2985"/>
      <c r="E98" s="115" t="s">
        <v>346</v>
      </c>
      <c r="F98" s="2989"/>
      <c r="G98" s="95"/>
      <c r="H98" s="93"/>
      <c r="I98" s="115" t="s">
        <v>347</v>
      </c>
      <c r="J98" s="115" t="s">
        <v>120</v>
      </c>
      <c r="K98" s="92">
        <v>200</v>
      </c>
      <c r="L98" s="283">
        <v>0.25</v>
      </c>
      <c r="M98" s="281">
        <v>42</v>
      </c>
      <c r="N98" s="289">
        <v>0.21</v>
      </c>
      <c r="O98" s="2987"/>
      <c r="P98" s="151">
        <v>140000000</v>
      </c>
      <c r="Q98" s="151">
        <v>140000000</v>
      </c>
      <c r="R98" s="151">
        <v>41184000</v>
      </c>
      <c r="S98" s="151">
        <v>13728000</v>
      </c>
      <c r="T98" s="77">
        <f t="shared" si="8"/>
        <v>0.29417142857142858</v>
      </c>
      <c r="U98" s="77">
        <f t="shared" si="8"/>
        <v>0.33333333333333331</v>
      </c>
      <c r="V98" s="896">
        <v>45310</v>
      </c>
      <c r="W98" s="897">
        <v>45657</v>
      </c>
      <c r="X98" s="207" t="s">
        <v>446</v>
      </c>
      <c r="Y98" s="2989"/>
    </row>
    <row r="99" spans="1:25" ht="52.8">
      <c r="A99" s="2991"/>
      <c r="B99" s="2984"/>
      <c r="C99" s="2984"/>
      <c r="D99" s="2985"/>
      <c r="E99" s="115" t="s">
        <v>301</v>
      </c>
      <c r="F99" s="2989"/>
      <c r="G99" s="95" t="s">
        <v>213</v>
      </c>
      <c r="H99" s="93"/>
      <c r="I99" s="115" t="s">
        <v>137</v>
      </c>
      <c r="J99" s="115" t="s">
        <v>138</v>
      </c>
      <c r="K99" s="92">
        <v>1</v>
      </c>
      <c r="L99" s="283">
        <v>0.35</v>
      </c>
      <c r="M99" s="281">
        <v>0</v>
      </c>
      <c r="N99" s="99">
        <v>1.8E-3</v>
      </c>
      <c r="O99" s="2987"/>
      <c r="P99" s="151">
        <v>80000000</v>
      </c>
      <c r="Q99" s="151">
        <v>80000000</v>
      </c>
      <c r="R99" s="151">
        <v>8876000</v>
      </c>
      <c r="S99" s="151">
        <v>0</v>
      </c>
      <c r="T99" s="77">
        <f t="shared" si="8"/>
        <v>0.11094999999999999</v>
      </c>
      <c r="U99" s="77">
        <f t="shared" si="8"/>
        <v>0</v>
      </c>
      <c r="V99" s="896"/>
      <c r="W99" s="897"/>
      <c r="X99" s="207" t="s">
        <v>447</v>
      </c>
      <c r="Y99" s="2989"/>
    </row>
    <row r="100" spans="1:25">
      <c r="A100" s="322"/>
      <c r="B100" s="275">
        <v>54020020004</v>
      </c>
      <c r="C100" s="275" t="s">
        <v>117</v>
      </c>
      <c r="D100" s="276" t="s">
        <v>216</v>
      </c>
      <c r="E100" s="105"/>
      <c r="F100" s="313"/>
      <c r="G100" s="105"/>
      <c r="H100" s="91"/>
      <c r="I100" s="105"/>
      <c r="J100" s="105"/>
      <c r="K100" s="72"/>
      <c r="L100" s="91"/>
      <c r="M100" s="91"/>
      <c r="N100" s="291"/>
      <c r="O100" s="77"/>
      <c r="P100" s="91"/>
      <c r="Q100" s="91"/>
      <c r="R100" s="91"/>
      <c r="S100" s="91"/>
      <c r="T100" s="220"/>
      <c r="U100" s="220"/>
      <c r="V100" s="294"/>
      <c r="W100" s="294"/>
      <c r="X100" s="91"/>
      <c r="Y100" s="72"/>
    </row>
    <row r="101" spans="1:25">
      <c r="A101" s="2991">
        <v>4132</v>
      </c>
      <c r="B101" s="2984"/>
      <c r="C101" s="2984" t="s">
        <v>123</v>
      </c>
      <c r="D101" s="2985" t="s">
        <v>217</v>
      </c>
      <c r="E101" s="142" t="s">
        <v>218</v>
      </c>
      <c r="F101" s="149"/>
      <c r="G101" s="142"/>
      <c r="H101" s="143"/>
      <c r="I101" s="153"/>
      <c r="J101" s="115"/>
      <c r="K101" s="92">
        <f>+K102</f>
        <v>79200</v>
      </c>
      <c r="L101" s="283">
        <f>L102+L103</f>
        <v>1</v>
      </c>
      <c r="M101" s="267">
        <f>M102+M103</f>
        <v>7276</v>
      </c>
      <c r="N101" s="99">
        <f>+N102+N103</f>
        <v>0.184</v>
      </c>
      <c r="O101" s="2986">
        <f>IF(Q101&gt;0,N101,"na")</f>
        <v>0.184</v>
      </c>
      <c r="P101" s="151">
        <f>P102+P103</f>
        <v>6000000000</v>
      </c>
      <c r="Q101" s="151">
        <f>Q102+Q103</f>
        <v>6000000000</v>
      </c>
      <c r="R101" s="151">
        <f>R102+R103</f>
        <v>1520924000</v>
      </c>
      <c r="S101" s="151">
        <f>S102+S103</f>
        <v>750000000</v>
      </c>
      <c r="T101" s="77">
        <f t="shared" ref="T101:U103" si="9">+IF(Q101=0,0,R101/Q101)</f>
        <v>0.25348733333333334</v>
      </c>
      <c r="U101" s="77">
        <f t="shared" si="9"/>
        <v>0.49312128679671041</v>
      </c>
      <c r="V101" s="896"/>
      <c r="W101" s="897"/>
      <c r="X101" s="91"/>
      <c r="Y101" s="2988" t="s">
        <v>208</v>
      </c>
    </row>
    <row r="102" spans="1:25" ht="66">
      <c r="A102" s="2991"/>
      <c r="B102" s="2984"/>
      <c r="C102" s="2984"/>
      <c r="D102" s="2985"/>
      <c r="E102" s="95" t="s">
        <v>302</v>
      </c>
      <c r="F102" s="3005"/>
      <c r="G102" s="95" t="s">
        <v>216</v>
      </c>
      <c r="H102" s="358"/>
      <c r="I102" s="115" t="s">
        <v>448</v>
      </c>
      <c r="J102" s="115" t="s">
        <v>219</v>
      </c>
      <c r="K102" s="92">
        <v>79200</v>
      </c>
      <c r="L102" s="283">
        <v>0.7</v>
      </c>
      <c r="M102" s="281">
        <v>7276</v>
      </c>
      <c r="N102" s="289">
        <v>9.1999999999999998E-2</v>
      </c>
      <c r="O102" s="2987"/>
      <c r="P102" s="151">
        <v>3103438579</v>
      </c>
      <c r="Q102" s="151">
        <v>3103438579</v>
      </c>
      <c r="R102" s="151">
        <v>836196219</v>
      </c>
      <c r="S102" s="151">
        <v>750000000</v>
      </c>
      <c r="T102" s="77">
        <f t="shared" si="9"/>
        <v>0.26944184578302233</v>
      </c>
      <c r="U102" s="77">
        <f t="shared" si="9"/>
        <v>0.89691866927707309</v>
      </c>
      <c r="V102" s="896">
        <v>45327</v>
      </c>
      <c r="W102" s="897">
        <v>45657</v>
      </c>
      <c r="X102" s="207" t="s">
        <v>449</v>
      </c>
      <c r="Y102" s="2989"/>
    </row>
    <row r="103" spans="1:25" ht="52.8">
      <c r="A103" s="2991"/>
      <c r="B103" s="2984"/>
      <c r="C103" s="2984"/>
      <c r="D103" s="2985"/>
      <c r="E103" s="95" t="s">
        <v>303</v>
      </c>
      <c r="F103" s="2989"/>
      <c r="G103" s="142"/>
      <c r="H103" s="348"/>
      <c r="I103" s="115" t="s">
        <v>348</v>
      </c>
      <c r="J103" s="115" t="s">
        <v>220</v>
      </c>
      <c r="K103" s="92">
        <v>1</v>
      </c>
      <c r="L103" s="283">
        <v>0.3</v>
      </c>
      <c r="M103" s="281">
        <v>0</v>
      </c>
      <c r="N103" s="99">
        <v>9.1999999999999998E-2</v>
      </c>
      <c r="O103" s="2987"/>
      <c r="P103" s="151">
        <v>2896561421</v>
      </c>
      <c r="Q103" s="151">
        <v>2896561421</v>
      </c>
      <c r="R103" s="151">
        <v>684727781</v>
      </c>
      <c r="S103" s="151">
        <v>0</v>
      </c>
      <c r="T103" s="77">
        <f t="shared" si="9"/>
        <v>0.23639332348892733</v>
      </c>
      <c r="U103" s="77">
        <f t="shared" si="9"/>
        <v>0</v>
      </c>
      <c r="V103" s="896">
        <v>45327</v>
      </c>
      <c r="W103" s="897">
        <v>45657</v>
      </c>
      <c r="X103" s="270" t="s">
        <v>450</v>
      </c>
      <c r="Y103" s="2989"/>
    </row>
    <row r="104" spans="1:25">
      <c r="A104" s="322"/>
      <c r="B104" s="275">
        <v>54020020005</v>
      </c>
      <c r="C104" s="275" t="s">
        <v>117</v>
      </c>
      <c r="D104" s="276" t="s">
        <v>221</v>
      </c>
      <c r="E104" s="105"/>
      <c r="F104" s="94"/>
      <c r="G104" s="105"/>
      <c r="H104" s="91"/>
      <c r="I104" s="105"/>
      <c r="J104" s="105"/>
      <c r="K104" s="72"/>
      <c r="L104" s="91"/>
      <c r="M104" s="91"/>
      <c r="N104" s="291"/>
      <c r="O104" s="77"/>
      <c r="P104" s="91"/>
      <c r="Q104" s="91"/>
      <c r="R104" s="91"/>
      <c r="S104" s="91"/>
      <c r="T104" s="220"/>
      <c r="U104" s="220"/>
      <c r="V104" s="294"/>
      <c r="W104" s="294"/>
      <c r="X104" s="91"/>
      <c r="Y104" s="72"/>
    </row>
    <row r="105" spans="1:25">
      <c r="A105" s="2991">
        <v>4132</v>
      </c>
      <c r="B105" s="2984"/>
      <c r="C105" s="2984" t="s">
        <v>123</v>
      </c>
      <c r="D105" s="2985" t="s">
        <v>222</v>
      </c>
      <c r="E105" s="142" t="s">
        <v>223</v>
      </c>
      <c r="F105" s="142"/>
      <c r="G105" s="142"/>
      <c r="H105" s="142"/>
      <c r="I105" s="153"/>
      <c r="J105" s="115"/>
      <c r="K105" s="142">
        <v>16</v>
      </c>
      <c r="L105" s="283">
        <f>+L106+L107+L108+L109</f>
        <v>1</v>
      </c>
      <c r="M105" s="267">
        <f>+M106+M107+M108+M109</f>
        <v>0</v>
      </c>
      <c r="N105" s="99">
        <f>+N106+N107+N108+N109</f>
        <v>0.125</v>
      </c>
      <c r="O105" s="2986">
        <f>IF(Q105&gt;0,N105,"na")</f>
        <v>0.125</v>
      </c>
      <c r="P105" s="151">
        <f>+P106+P107+P108+P109</f>
        <v>694556400</v>
      </c>
      <c r="Q105" s="151">
        <f>+Q106+Q107+Q108+Q109</f>
        <v>694556400</v>
      </c>
      <c r="R105" s="151">
        <f>+R106+R107+R108+R109</f>
        <v>45021000</v>
      </c>
      <c r="S105" s="151">
        <f>+S106+S107+S108+S109</f>
        <v>14458000</v>
      </c>
      <c r="T105" s="77">
        <f t="shared" ref="T105:U108" si="10">+IF(Q105=0,0,R105/Q105)</f>
        <v>6.4819790012733303E-2</v>
      </c>
      <c r="U105" s="77">
        <f t="shared" si="10"/>
        <v>0.32113902401101707</v>
      </c>
      <c r="V105" s="896"/>
      <c r="W105" s="897"/>
      <c r="X105" s="89"/>
      <c r="Y105" s="2988" t="s">
        <v>208</v>
      </c>
    </row>
    <row r="106" spans="1:25" ht="92.4">
      <c r="A106" s="2991"/>
      <c r="B106" s="2984"/>
      <c r="C106" s="2984"/>
      <c r="D106" s="2985"/>
      <c r="E106" s="115" t="s">
        <v>304</v>
      </c>
      <c r="F106" s="2988"/>
      <c r="G106" s="115"/>
      <c r="H106" s="75"/>
      <c r="I106" s="115" t="s">
        <v>224</v>
      </c>
      <c r="J106" s="115" t="s">
        <v>136</v>
      </c>
      <c r="K106" s="142">
        <v>3</v>
      </c>
      <c r="L106" s="283">
        <v>0.2</v>
      </c>
      <c r="M106" s="281">
        <v>0</v>
      </c>
      <c r="N106" s="99">
        <v>0.06</v>
      </c>
      <c r="O106" s="2987"/>
      <c r="P106" s="151">
        <v>427429400</v>
      </c>
      <c r="Q106" s="151">
        <v>427429400</v>
      </c>
      <c r="R106" s="151">
        <v>23334000</v>
      </c>
      <c r="S106" s="151">
        <v>7229000</v>
      </c>
      <c r="T106" s="77">
        <f t="shared" si="10"/>
        <v>5.4591471714393068E-2</v>
      </c>
      <c r="U106" s="77">
        <f t="shared" si="10"/>
        <v>0.30980543413045342</v>
      </c>
      <c r="V106" s="896">
        <v>45315</v>
      </c>
      <c r="W106" s="897">
        <v>45657</v>
      </c>
      <c r="X106" s="270" t="s">
        <v>451</v>
      </c>
      <c r="Y106" s="2989"/>
    </row>
    <row r="107" spans="1:25" ht="39.6">
      <c r="A107" s="2991"/>
      <c r="B107" s="2984"/>
      <c r="C107" s="2984"/>
      <c r="D107" s="2985"/>
      <c r="E107" s="115" t="s">
        <v>305</v>
      </c>
      <c r="F107" s="2989"/>
      <c r="G107" s="115"/>
      <c r="H107" s="75"/>
      <c r="I107" s="115" t="s">
        <v>225</v>
      </c>
      <c r="J107" s="115" t="s">
        <v>124</v>
      </c>
      <c r="K107" s="142">
        <v>1</v>
      </c>
      <c r="L107" s="283">
        <v>0.2</v>
      </c>
      <c r="M107" s="281">
        <v>0</v>
      </c>
      <c r="N107" s="99">
        <v>0</v>
      </c>
      <c r="O107" s="2987"/>
      <c r="P107" s="151">
        <v>52673200</v>
      </c>
      <c r="Q107" s="151">
        <v>52673200</v>
      </c>
      <c r="R107" s="151">
        <v>0</v>
      </c>
      <c r="S107" s="151">
        <v>0</v>
      </c>
      <c r="T107" s="152">
        <f t="shared" si="10"/>
        <v>0</v>
      </c>
      <c r="U107" s="77">
        <f t="shared" si="10"/>
        <v>0</v>
      </c>
      <c r="V107" s="896"/>
      <c r="W107" s="897"/>
      <c r="X107" s="207"/>
      <c r="Y107" s="2989"/>
    </row>
    <row r="108" spans="1:25" ht="92.4">
      <c r="A108" s="2991"/>
      <c r="B108" s="2984"/>
      <c r="C108" s="2984"/>
      <c r="D108" s="2985"/>
      <c r="E108" s="115" t="s">
        <v>306</v>
      </c>
      <c r="F108" s="2989"/>
      <c r="G108" s="115"/>
      <c r="H108" s="74"/>
      <c r="I108" s="115" t="s">
        <v>349</v>
      </c>
      <c r="J108" s="115" t="s">
        <v>138</v>
      </c>
      <c r="K108" s="142">
        <v>10</v>
      </c>
      <c r="L108" s="283">
        <v>0.2</v>
      </c>
      <c r="M108" s="267">
        <v>0</v>
      </c>
      <c r="N108" s="99">
        <v>6.5000000000000002E-2</v>
      </c>
      <c r="O108" s="2987"/>
      <c r="P108" s="151">
        <v>36795000</v>
      </c>
      <c r="Q108" s="151">
        <v>36795000</v>
      </c>
      <c r="R108" s="151">
        <v>21687000</v>
      </c>
      <c r="S108" s="151">
        <v>7229000</v>
      </c>
      <c r="T108" s="77">
        <f t="shared" si="10"/>
        <v>0.58940073379535263</v>
      </c>
      <c r="U108" s="77">
        <f t="shared" si="10"/>
        <v>0.33333333333333331</v>
      </c>
      <c r="V108" s="896">
        <v>45315</v>
      </c>
      <c r="W108" s="897">
        <v>45657</v>
      </c>
      <c r="X108" s="270" t="s">
        <v>452</v>
      </c>
      <c r="Y108" s="2989"/>
    </row>
    <row r="109" spans="1:25" ht="39.6">
      <c r="A109" s="2991"/>
      <c r="B109" s="2984"/>
      <c r="C109" s="2984"/>
      <c r="D109" s="2985"/>
      <c r="E109" s="115" t="s">
        <v>307</v>
      </c>
      <c r="F109" s="2989"/>
      <c r="G109" s="115" t="s">
        <v>221</v>
      </c>
      <c r="H109" s="74"/>
      <c r="I109" s="115" t="s">
        <v>453</v>
      </c>
      <c r="J109" s="115" t="s">
        <v>125</v>
      </c>
      <c r="K109" s="142">
        <v>2</v>
      </c>
      <c r="L109" s="283">
        <v>0.4</v>
      </c>
      <c r="M109" s="281">
        <v>0</v>
      </c>
      <c r="N109" s="99">
        <v>0</v>
      </c>
      <c r="O109" s="2987"/>
      <c r="P109" s="151">
        <v>177658800</v>
      </c>
      <c r="Q109" s="151">
        <v>177658800</v>
      </c>
      <c r="R109" s="151">
        <v>0</v>
      </c>
      <c r="S109" s="151">
        <v>0</v>
      </c>
      <c r="T109" s="77">
        <v>0</v>
      </c>
      <c r="U109" s="77">
        <f>+IF(R109=0,0,S109/R109)</f>
        <v>0</v>
      </c>
      <c r="V109" s="896"/>
      <c r="W109" s="897"/>
      <c r="X109" s="207"/>
      <c r="Y109" s="2989"/>
    </row>
    <row r="110" spans="1:25">
      <c r="A110" s="322"/>
      <c r="B110" s="275">
        <v>54020020006</v>
      </c>
      <c r="C110" s="275" t="s">
        <v>117</v>
      </c>
      <c r="D110" s="276" t="s">
        <v>226</v>
      </c>
      <c r="E110" s="105"/>
      <c r="F110" s="313"/>
      <c r="G110" s="105"/>
      <c r="H110" s="91"/>
      <c r="I110" s="105"/>
      <c r="J110" s="105"/>
      <c r="K110" s="72"/>
      <c r="L110" s="91"/>
      <c r="M110" s="91"/>
      <c r="N110" s="291"/>
      <c r="O110" s="77"/>
      <c r="P110" s="91"/>
      <c r="Q110" s="91"/>
      <c r="R110" s="91"/>
      <c r="S110" s="91"/>
      <c r="T110" s="220"/>
      <c r="U110" s="220"/>
      <c r="V110" s="294"/>
      <c r="W110" s="294"/>
      <c r="X110" s="91"/>
      <c r="Y110" s="72"/>
    </row>
    <row r="111" spans="1:25">
      <c r="A111" s="2991">
        <v>4132</v>
      </c>
      <c r="B111" s="2984"/>
      <c r="C111" s="2984" t="s">
        <v>123</v>
      </c>
      <c r="D111" s="2985" t="s">
        <v>227</v>
      </c>
      <c r="E111" s="142" t="s">
        <v>228</v>
      </c>
      <c r="F111" s="149"/>
      <c r="G111" s="115"/>
      <c r="H111" s="144"/>
      <c r="I111" s="153"/>
      <c r="J111" s="115"/>
      <c r="K111" s="142">
        <f>K113</f>
        <v>1</v>
      </c>
      <c r="L111" s="283">
        <f>L112+L113+L114</f>
        <v>1</v>
      </c>
      <c r="M111" s="267">
        <f>M112+M113+M114+M115+M116</f>
        <v>0</v>
      </c>
      <c r="N111" s="99">
        <f>+N112+N113+N114</f>
        <v>0.06</v>
      </c>
      <c r="O111" s="2986">
        <f>IF(Q111&gt;0,N111,"na")</f>
        <v>0.06</v>
      </c>
      <c r="P111" s="151">
        <f>P112+P113+P114</f>
        <v>256278200</v>
      </c>
      <c r="Q111" s="151">
        <f>Q112+Q113+Q114</f>
        <v>256278200</v>
      </c>
      <c r="R111" s="151">
        <f>R112+R113+R114</f>
        <v>28691000</v>
      </c>
      <c r="S111" s="151">
        <f>S112+S113+S114</f>
        <v>5231000</v>
      </c>
      <c r="T111" s="77">
        <f t="shared" ref="T111:U114" si="11">+IF(Q111=0,0,R111/Q111)</f>
        <v>0.11195255780632141</v>
      </c>
      <c r="U111" s="77">
        <f t="shared" si="11"/>
        <v>0.18232198250322401</v>
      </c>
      <c r="V111" s="896"/>
      <c r="W111" s="897"/>
      <c r="X111" s="91"/>
      <c r="Y111" s="2988" t="s">
        <v>208</v>
      </c>
    </row>
    <row r="112" spans="1:25">
      <c r="A112" s="2991"/>
      <c r="B112" s="2984"/>
      <c r="C112" s="2984"/>
      <c r="D112" s="2985"/>
      <c r="E112" s="95" t="s">
        <v>308</v>
      </c>
      <c r="F112" s="3005"/>
      <c r="G112" s="115"/>
      <c r="H112" s="280"/>
      <c r="I112" s="115" t="s">
        <v>454</v>
      </c>
      <c r="J112" s="115" t="s">
        <v>267</v>
      </c>
      <c r="K112" s="142">
        <v>4</v>
      </c>
      <c r="L112" s="283">
        <v>0.2</v>
      </c>
      <c r="M112" s="281">
        <v>0</v>
      </c>
      <c r="N112" s="99">
        <v>0</v>
      </c>
      <c r="O112" s="2987"/>
      <c r="P112" s="151">
        <v>55594000</v>
      </c>
      <c r="Q112" s="151">
        <v>55594000</v>
      </c>
      <c r="R112" s="151">
        <v>0</v>
      </c>
      <c r="S112" s="151">
        <v>0</v>
      </c>
      <c r="T112" s="77">
        <f t="shared" si="11"/>
        <v>0</v>
      </c>
      <c r="U112" s="77">
        <f t="shared" si="11"/>
        <v>0</v>
      </c>
      <c r="V112" s="896"/>
      <c r="W112" s="897"/>
      <c r="X112" s="207"/>
      <c r="Y112" s="2989"/>
    </row>
    <row r="113" spans="1:25" ht="66">
      <c r="A113" s="2991"/>
      <c r="B113" s="2984"/>
      <c r="C113" s="2984"/>
      <c r="D113" s="2985"/>
      <c r="E113" s="95" t="s">
        <v>309</v>
      </c>
      <c r="F113" s="2989"/>
      <c r="G113" s="115" t="s">
        <v>226</v>
      </c>
      <c r="H113" s="102"/>
      <c r="I113" s="115" t="s">
        <v>229</v>
      </c>
      <c r="J113" s="115" t="s">
        <v>220</v>
      </c>
      <c r="K113" s="142">
        <v>1</v>
      </c>
      <c r="L113" s="283">
        <v>0.45</v>
      </c>
      <c r="M113" s="267">
        <v>0</v>
      </c>
      <c r="N113" s="99">
        <v>0.06</v>
      </c>
      <c r="O113" s="2987"/>
      <c r="P113" s="151">
        <v>123314400</v>
      </c>
      <c r="Q113" s="151">
        <v>123314400</v>
      </c>
      <c r="R113" s="151">
        <v>28691000</v>
      </c>
      <c r="S113" s="151">
        <v>5231000</v>
      </c>
      <c r="T113" s="77">
        <f t="shared" si="11"/>
        <v>0.23266544701997496</v>
      </c>
      <c r="U113" s="77">
        <f t="shared" si="11"/>
        <v>0.18232198250322401</v>
      </c>
      <c r="V113" s="896">
        <v>45309</v>
      </c>
      <c r="W113" s="897">
        <v>45657</v>
      </c>
      <c r="X113" s="207" t="s">
        <v>455</v>
      </c>
      <c r="Y113" s="2989"/>
    </row>
    <row r="114" spans="1:25" ht="26.4">
      <c r="A114" s="2991"/>
      <c r="B114" s="2984"/>
      <c r="C114" s="2984"/>
      <c r="D114" s="2985"/>
      <c r="E114" s="95" t="s">
        <v>310</v>
      </c>
      <c r="F114" s="2989"/>
      <c r="G114" s="115"/>
      <c r="H114" s="75"/>
      <c r="I114" s="115" t="s">
        <v>137</v>
      </c>
      <c r="J114" s="115" t="s">
        <v>138</v>
      </c>
      <c r="K114" s="142">
        <v>1</v>
      </c>
      <c r="L114" s="283">
        <v>0.35</v>
      </c>
      <c r="M114" s="281">
        <v>0</v>
      </c>
      <c r="N114" s="99">
        <v>0</v>
      </c>
      <c r="O114" s="2987"/>
      <c r="P114" s="151">
        <v>77369800</v>
      </c>
      <c r="Q114" s="151">
        <v>77369800</v>
      </c>
      <c r="R114" s="151">
        <v>0</v>
      </c>
      <c r="S114" s="151">
        <v>0</v>
      </c>
      <c r="T114" s="77">
        <f t="shared" si="11"/>
        <v>0</v>
      </c>
      <c r="U114" s="77">
        <f t="shared" si="11"/>
        <v>0</v>
      </c>
      <c r="V114" s="896"/>
      <c r="W114" s="897"/>
      <c r="X114" s="207"/>
      <c r="Y114" s="2989"/>
    </row>
    <row r="115" spans="1:25">
      <c r="A115" s="322"/>
      <c r="B115" s="275">
        <v>54020020007</v>
      </c>
      <c r="C115" s="275" t="s">
        <v>117</v>
      </c>
      <c r="D115" s="276" t="s">
        <v>230</v>
      </c>
      <c r="E115" s="105"/>
      <c r="F115" s="94"/>
      <c r="G115" s="105"/>
      <c r="H115" s="91"/>
      <c r="I115" s="105"/>
      <c r="J115" s="105"/>
      <c r="K115" s="72"/>
      <c r="L115" s="91"/>
      <c r="M115" s="91"/>
      <c r="N115" s="291"/>
      <c r="O115" s="77"/>
      <c r="P115" s="91"/>
      <c r="Q115" s="91"/>
      <c r="R115" s="91"/>
      <c r="S115" s="91"/>
      <c r="T115" s="220"/>
      <c r="U115" s="220"/>
      <c r="V115" s="294"/>
      <c r="W115" s="294"/>
      <c r="X115" s="91"/>
      <c r="Y115" s="72"/>
    </row>
    <row r="116" spans="1:25">
      <c r="A116" s="2991">
        <v>4132</v>
      </c>
      <c r="B116" s="2984"/>
      <c r="C116" s="2984" t="s">
        <v>123</v>
      </c>
      <c r="D116" s="2985" t="s">
        <v>231</v>
      </c>
      <c r="E116" s="74" t="s">
        <v>232</v>
      </c>
      <c r="F116" s="92"/>
      <c r="G116" s="115"/>
      <c r="H116" s="92"/>
      <c r="I116" s="295"/>
      <c r="J116" s="295"/>
      <c r="K116" s="93">
        <f>+K117+K119+K120</f>
        <v>4</v>
      </c>
      <c r="L116" s="280">
        <f>L117+L118+L119+L120</f>
        <v>1</v>
      </c>
      <c r="M116" s="267">
        <f>M117+M118+M119+M120</f>
        <v>0</v>
      </c>
      <c r="N116" s="99">
        <f>N117+N118+N119+N120</f>
        <v>0</v>
      </c>
      <c r="O116" s="2986">
        <f>IF(Q116&gt;0,N116,"na")</f>
        <v>0</v>
      </c>
      <c r="P116" s="151">
        <f>P117+P118+P119+P120</f>
        <v>730428392</v>
      </c>
      <c r="Q116" s="151">
        <f>Q117+Q118+Q119+Q120</f>
        <v>730428392</v>
      </c>
      <c r="R116" s="151">
        <f>R117+R118+R119+R120</f>
        <v>0</v>
      </c>
      <c r="S116" s="151">
        <f>S117+S118+S119+S120</f>
        <v>0</v>
      </c>
      <c r="T116" s="77">
        <f t="shared" ref="T116:U120" si="12">+IF(Q116=0,0,R116/Q116)</f>
        <v>0</v>
      </c>
      <c r="U116" s="77">
        <f t="shared" si="12"/>
        <v>0</v>
      </c>
      <c r="V116" s="896"/>
      <c r="W116" s="897"/>
      <c r="X116" s="91"/>
      <c r="Y116" s="2988" t="s">
        <v>208</v>
      </c>
    </row>
    <row r="117" spans="1:25" ht="39.6">
      <c r="A117" s="2991"/>
      <c r="B117" s="2984"/>
      <c r="C117" s="2984"/>
      <c r="D117" s="2985"/>
      <c r="E117" s="95" t="s">
        <v>311</v>
      </c>
      <c r="F117" s="2992"/>
      <c r="G117" s="2995" t="s">
        <v>350</v>
      </c>
      <c r="H117" s="92"/>
      <c r="I117" s="295" t="s">
        <v>233</v>
      </c>
      <c r="J117" s="295" t="s">
        <v>234</v>
      </c>
      <c r="K117" s="93">
        <v>1</v>
      </c>
      <c r="L117" s="280">
        <v>0.2</v>
      </c>
      <c r="M117" s="281">
        <v>0</v>
      </c>
      <c r="N117" s="99">
        <v>0</v>
      </c>
      <c r="O117" s="2987"/>
      <c r="P117" s="151">
        <v>276340000</v>
      </c>
      <c r="Q117" s="151">
        <v>276340000</v>
      </c>
      <c r="R117" s="151">
        <v>0</v>
      </c>
      <c r="S117" s="151">
        <v>0</v>
      </c>
      <c r="T117" s="77">
        <f t="shared" si="12"/>
        <v>0</v>
      </c>
      <c r="U117" s="77">
        <f t="shared" si="12"/>
        <v>0</v>
      </c>
      <c r="V117" s="896"/>
      <c r="W117" s="897"/>
      <c r="X117" s="207"/>
      <c r="Y117" s="2988"/>
    </row>
    <row r="118" spans="1:25" ht="79.2">
      <c r="A118" s="2991"/>
      <c r="B118" s="2984"/>
      <c r="C118" s="2984"/>
      <c r="D118" s="2985"/>
      <c r="E118" s="95" t="s">
        <v>312</v>
      </c>
      <c r="F118" s="2989"/>
      <c r="G118" s="2989"/>
      <c r="H118" s="92"/>
      <c r="I118" s="295" t="s">
        <v>351</v>
      </c>
      <c r="J118" s="295" t="s">
        <v>235</v>
      </c>
      <c r="K118" s="93">
        <v>1</v>
      </c>
      <c r="L118" s="280">
        <v>0.15</v>
      </c>
      <c r="M118" s="267">
        <v>0</v>
      </c>
      <c r="N118" s="99">
        <v>0</v>
      </c>
      <c r="O118" s="2987"/>
      <c r="P118" s="151">
        <v>66712800</v>
      </c>
      <c r="Q118" s="151">
        <v>66712800</v>
      </c>
      <c r="R118" s="151">
        <v>0</v>
      </c>
      <c r="S118" s="151">
        <v>0</v>
      </c>
      <c r="T118" s="77">
        <f t="shared" si="12"/>
        <v>0</v>
      </c>
      <c r="U118" s="77">
        <f t="shared" si="12"/>
        <v>0</v>
      </c>
      <c r="V118" s="896"/>
      <c r="W118" s="897"/>
      <c r="X118" s="207"/>
      <c r="Y118" s="2988"/>
    </row>
    <row r="119" spans="1:25" ht="79.2">
      <c r="A119" s="2991"/>
      <c r="B119" s="2984"/>
      <c r="C119" s="2984"/>
      <c r="D119" s="2985"/>
      <c r="E119" s="95" t="s">
        <v>352</v>
      </c>
      <c r="F119" s="2989"/>
      <c r="G119" s="2989"/>
      <c r="H119" s="92"/>
      <c r="I119" s="295" t="s">
        <v>456</v>
      </c>
      <c r="J119" s="295" t="s">
        <v>353</v>
      </c>
      <c r="K119" s="93">
        <v>1</v>
      </c>
      <c r="L119" s="280">
        <v>0.15</v>
      </c>
      <c r="M119" s="267">
        <v>0</v>
      </c>
      <c r="N119" s="99">
        <v>0</v>
      </c>
      <c r="O119" s="2987"/>
      <c r="P119" s="151">
        <v>334455592</v>
      </c>
      <c r="Q119" s="151">
        <v>334455592</v>
      </c>
      <c r="R119" s="151">
        <v>0</v>
      </c>
      <c r="S119" s="151">
        <v>0</v>
      </c>
      <c r="T119" s="152">
        <f t="shared" si="12"/>
        <v>0</v>
      </c>
      <c r="U119" s="77">
        <f t="shared" si="12"/>
        <v>0</v>
      </c>
      <c r="V119" s="896"/>
      <c r="W119" s="897"/>
      <c r="X119" s="91"/>
      <c r="Y119" s="2988"/>
    </row>
    <row r="120" spans="1:25" ht="39.6">
      <c r="A120" s="2991"/>
      <c r="B120" s="2984"/>
      <c r="C120" s="2984"/>
      <c r="D120" s="2985"/>
      <c r="E120" s="95" t="s">
        <v>313</v>
      </c>
      <c r="F120" s="2989"/>
      <c r="G120" s="2989"/>
      <c r="H120" s="92"/>
      <c r="I120" s="295" t="s">
        <v>354</v>
      </c>
      <c r="J120" s="295" t="s">
        <v>236</v>
      </c>
      <c r="K120" s="93">
        <v>2</v>
      </c>
      <c r="L120" s="280">
        <v>0.5</v>
      </c>
      <c r="M120" s="267">
        <v>0</v>
      </c>
      <c r="N120" s="99">
        <v>0</v>
      </c>
      <c r="O120" s="2987"/>
      <c r="P120" s="151">
        <v>52920000</v>
      </c>
      <c r="Q120" s="151">
        <v>52920000</v>
      </c>
      <c r="R120" s="151">
        <v>0</v>
      </c>
      <c r="S120" s="151">
        <v>0</v>
      </c>
      <c r="T120" s="77">
        <f t="shared" si="12"/>
        <v>0</v>
      </c>
      <c r="U120" s="77">
        <f t="shared" si="12"/>
        <v>0</v>
      </c>
      <c r="V120" s="896"/>
      <c r="W120" s="897"/>
      <c r="X120" s="91"/>
      <c r="Y120" s="2988"/>
    </row>
    <row r="121" spans="1:25">
      <c r="A121" s="322"/>
      <c r="B121" s="275">
        <v>54020020008</v>
      </c>
      <c r="C121" s="275" t="s">
        <v>117</v>
      </c>
      <c r="D121" s="276" t="s">
        <v>237</v>
      </c>
      <c r="E121" s="105"/>
      <c r="F121" s="313"/>
      <c r="G121" s="105"/>
      <c r="H121" s="91"/>
      <c r="I121" s="105"/>
      <c r="J121" s="105"/>
      <c r="K121" s="72"/>
      <c r="L121" s="91"/>
      <c r="M121" s="91"/>
      <c r="N121" s="291"/>
      <c r="O121" s="77"/>
      <c r="P121" s="91"/>
      <c r="Q121" s="91"/>
      <c r="R121" s="91"/>
      <c r="S121" s="91"/>
      <c r="T121" s="220"/>
      <c r="U121" s="220"/>
      <c r="V121" s="294"/>
      <c r="W121" s="294"/>
      <c r="X121" s="91"/>
      <c r="Y121" s="72"/>
    </row>
    <row r="122" spans="1:25">
      <c r="A122" s="2991">
        <v>4132</v>
      </c>
      <c r="B122" s="2984"/>
      <c r="C122" s="2984" t="s">
        <v>123</v>
      </c>
      <c r="D122" s="2985" t="s">
        <v>238</v>
      </c>
      <c r="E122" s="142" t="s">
        <v>239</v>
      </c>
      <c r="F122" s="102"/>
      <c r="G122" s="115"/>
      <c r="H122" s="149"/>
      <c r="I122" s="153"/>
      <c r="J122" s="115"/>
      <c r="K122" s="142">
        <f>K123</f>
        <v>1</v>
      </c>
      <c r="L122" s="283">
        <f>L123+L124</f>
        <v>1</v>
      </c>
      <c r="M122" s="267">
        <f>M123</f>
        <v>0</v>
      </c>
      <c r="N122" s="99">
        <f>N123+N124</f>
        <v>0</v>
      </c>
      <c r="O122" s="2986">
        <f>IF(Q122&gt;0,N122,"na")</f>
        <v>0</v>
      </c>
      <c r="P122" s="151">
        <f>P123+P124</f>
        <v>564122982</v>
      </c>
      <c r="Q122" s="151">
        <f>Q123+Q124</f>
        <v>564122982</v>
      </c>
      <c r="R122" s="151">
        <f>R123+R124</f>
        <v>0</v>
      </c>
      <c r="S122" s="151">
        <f>S123+S124</f>
        <v>0</v>
      </c>
      <c r="T122" s="77">
        <f t="shared" ref="T122:U124" si="13">+IF(Q122=0,0,R122/Q122)</f>
        <v>0</v>
      </c>
      <c r="U122" s="77">
        <f t="shared" si="13"/>
        <v>0</v>
      </c>
      <c r="V122" s="896"/>
      <c r="W122" s="897"/>
      <c r="X122" s="91"/>
      <c r="Y122" s="2988" t="s">
        <v>169</v>
      </c>
    </row>
    <row r="123" spans="1:25" ht="52.8">
      <c r="A123" s="2991"/>
      <c r="B123" s="2984"/>
      <c r="C123" s="2984"/>
      <c r="D123" s="2985"/>
      <c r="E123" s="95" t="s">
        <v>314</v>
      </c>
      <c r="F123" s="2990"/>
      <c r="G123" s="115" t="s">
        <v>237</v>
      </c>
      <c r="H123" s="102"/>
      <c r="I123" s="115" t="s">
        <v>240</v>
      </c>
      <c r="J123" s="115" t="s">
        <v>241</v>
      </c>
      <c r="K123" s="142">
        <v>1</v>
      </c>
      <c r="L123" s="283">
        <v>0.6</v>
      </c>
      <c r="M123" s="281">
        <v>0</v>
      </c>
      <c r="N123" s="99">
        <v>0</v>
      </c>
      <c r="O123" s="2987"/>
      <c r="P123" s="151">
        <v>290005360</v>
      </c>
      <c r="Q123" s="151">
        <v>290005360</v>
      </c>
      <c r="R123" s="151">
        <v>0</v>
      </c>
      <c r="S123" s="151">
        <v>0</v>
      </c>
      <c r="T123" s="77">
        <f t="shared" si="13"/>
        <v>0</v>
      </c>
      <c r="U123" s="77">
        <f t="shared" si="13"/>
        <v>0</v>
      </c>
      <c r="V123" s="896"/>
      <c r="W123" s="897"/>
      <c r="X123" s="270"/>
      <c r="Y123" s="2989"/>
    </row>
    <row r="124" spans="1:25" ht="39.6">
      <c r="A124" s="2991"/>
      <c r="B124" s="2984"/>
      <c r="C124" s="2984"/>
      <c r="D124" s="2985"/>
      <c r="E124" s="95" t="s">
        <v>315</v>
      </c>
      <c r="F124" s="2989"/>
      <c r="G124" s="95"/>
      <c r="H124" s="280"/>
      <c r="I124" s="115" t="s">
        <v>242</v>
      </c>
      <c r="J124" s="115" t="s">
        <v>243</v>
      </c>
      <c r="K124" s="142">
        <v>200</v>
      </c>
      <c r="L124" s="283">
        <v>0.4</v>
      </c>
      <c r="M124" s="267">
        <v>0</v>
      </c>
      <c r="N124" s="99">
        <v>0</v>
      </c>
      <c r="O124" s="2987"/>
      <c r="P124" s="151">
        <v>274117622</v>
      </c>
      <c r="Q124" s="151">
        <v>274117622</v>
      </c>
      <c r="R124" s="151">
        <v>0</v>
      </c>
      <c r="S124" s="151">
        <v>0</v>
      </c>
      <c r="T124" s="77">
        <f t="shared" si="13"/>
        <v>0</v>
      </c>
      <c r="U124" s="77">
        <f t="shared" si="13"/>
        <v>0</v>
      </c>
      <c r="V124" s="896"/>
      <c r="W124" s="897"/>
      <c r="X124" s="270"/>
      <c r="Y124" s="2989"/>
    </row>
    <row r="125" spans="1:25">
      <c r="A125" s="322"/>
      <c r="B125" s="275">
        <v>54020020009</v>
      </c>
      <c r="C125" s="275" t="s">
        <v>117</v>
      </c>
      <c r="D125" s="276" t="s">
        <v>244</v>
      </c>
      <c r="E125" s="105"/>
      <c r="F125" s="313"/>
      <c r="G125" s="105"/>
      <c r="H125" s="91"/>
      <c r="I125" s="105"/>
      <c r="J125" s="105"/>
      <c r="K125" s="72"/>
      <c r="L125" s="91"/>
      <c r="M125" s="91"/>
      <c r="N125" s="291"/>
      <c r="O125" s="77"/>
      <c r="P125" s="91"/>
      <c r="Q125" s="91"/>
      <c r="R125" s="91"/>
      <c r="S125" s="91"/>
      <c r="T125" s="220"/>
      <c r="U125" s="220"/>
      <c r="V125" s="294"/>
      <c r="W125" s="294"/>
      <c r="X125" s="91"/>
      <c r="Y125" s="72"/>
    </row>
    <row r="126" spans="1:25">
      <c r="A126" s="2991">
        <v>4132</v>
      </c>
      <c r="B126" s="2991"/>
      <c r="C126" s="2984" t="s">
        <v>123</v>
      </c>
      <c r="D126" s="2985" t="s">
        <v>245</v>
      </c>
      <c r="E126" s="74" t="s">
        <v>246</v>
      </c>
      <c r="F126" s="144"/>
      <c r="G126" s="142"/>
      <c r="H126" s="359"/>
      <c r="I126" s="115"/>
      <c r="J126" s="115"/>
      <c r="K126" s="92">
        <f>+K127</f>
        <v>1</v>
      </c>
      <c r="L126" s="283">
        <f>L127</f>
        <v>1</v>
      </c>
      <c r="M126" s="267">
        <f>M127</f>
        <v>0</v>
      </c>
      <c r="N126" s="289">
        <f>N127</f>
        <v>0.03</v>
      </c>
      <c r="O126" s="2986">
        <f>IF(Q126&gt;0,N126,"NA")</f>
        <v>0.03</v>
      </c>
      <c r="P126" s="151">
        <f>P127</f>
        <v>450000000</v>
      </c>
      <c r="Q126" s="151">
        <f>Q127</f>
        <v>450000000</v>
      </c>
      <c r="R126" s="151">
        <f>R127</f>
        <v>105945000</v>
      </c>
      <c r="S126" s="151">
        <f>S127</f>
        <v>37361000</v>
      </c>
      <c r="T126" s="77">
        <f>+IF(Q126=0,0,R126/Q126)</f>
        <v>0.23543333333333333</v>
      </c>
      <c r="U126" s="77">
        <f>+IF(R126=0,0,S126/R126)</f>
        <v>0.35264524045495305</v>
      </c>
      <c r="V126" s="896"/>
      <c r="W126" s="897"/>
      <c r="X126" s="91"/>
      <c r="Y126" s="2988" t="s">
        <v>169</v>
      </c>
    </row>
    <row r="127" spans="1:25" ht="79.2">
      <c r="A127" s="2991"/>
      <c r="B127" s="2991"/>
      <c r="C127" s="2984"/>
      <c r="D127" s="2985"/>
      <c r="E127" s="115" t="s">
        <v>316</v>
      </c>
      <c r="F127" s="149"/>
      <c r="G127" s="95" t="s">
        <v>244</v>
      </c>
      <c r="H127" s="359"/>
      <c r="I127" s="295" t="s">
        <v>355</v>
      </c>
      <c r="J127" s="295" t="s">
        <v>247</v>
      </c>
      <c r="K127" s="93">
        <v>1</v>
      </c>
      <c r="L127" s="280">
        <v>1</v>
      </c>
      <c r="M127" s="281">
        <v>0</v>
      </c>
      <c r="N127" s="289">
        <v>0.03</v>
      </c>
      <c r="O127" s="2987"/>
      <c r="P127" s="151">
        <v>450000000</v>
      </c>
      <c r="Q127" s="151">
        <v>450000000</v>
      </c>
      <c r="R127" s="151">
        <v>105945000</v>
      </c>
      <c r="S127" s="151">
        <v>37361000</v>
      </c>
      <c r="T127" s="77">
        <f>+IF(Q127=0,0,R127/Q127)</f>
        <v>0.23543333333333333</v>
      </c>
      <c r="U127" s="77">
        <f>+IF(R127=0,0,S127/R127)</f>
        <v>0.35264524045495305</v>
      </c>
      <c r="V127" s="896">
        <v>45341</v>
      </c>
      <c r="W127" s="897">
        <v>45657</v>
      </c>
      <c r="X127" s="310" t="s">
        <v>457</v>
      </c>
      <c r="Y127" s="2989"/>
    </row>
    <row r="128" spans="1:25" ht="41.4">
      <c r="A128" s="322"/>
      <c r="B128" s="275">
        <v>54020020010</v>
      </c>
      <c r="C128" s="275" t="s">
        <v>117</v>
      </c>
      <c r="D128" s="276" t="s">
        <v>356</v>
      </c>
      <c r="E128" s="105"/>
      <c r="F128" s="94"/>
      <c r="G128" s="105"/>
      <c r="H128" s="91"/>
      <c r="I128" s="105"/>
      <c r="J128" s="105"/>
      <c r="K128" s="72"/>
      <c r="L128" s="91"/>
      <c r="M128" s="91"/>
      <c r="N128" s="291"/>
      <c r="O128" s="77"/>
      <c r="P128" s="91"/>
      <c r="Q128" s="91"/>
      <c r="R128" s="91"/>
      <c r="S128" s="91" t="s">
        <v>265</v>
      </c>
      <c r="T128" s="220"/>
      <c r="U128" s="220"/>
      <c r="V128" s="294"/>
      <c r="W128" s="294"/>
      <c r="X128" s="91"/>
      <c r="Y128" s="72"/>
    </row>
    <row r="129" spans="1:25">
      <c r="A129" s="2991">
        <v>4132</v>
      </c>
      <c r="B129" s="2984"/>
      <c r="C129" s="2991" t="s">
        <v>123</v>
      </c>
      <c r="D129" s="2985" t="s">
        <v>248</v>
      </c>
      <c r="E129" s="74" t="s">
        <v>249</v>
      </c>
      <c r="F129" s="92"/>
      <c r="G129" s="115"/>
      <c r="H129" s="92"/>
      <c r="I129" s="295"/>
      <c r="J129" s="295"/>
      <c r="K129" s="93">
        <f>K130</f>
        <v>1</v>
      </c>
      <c r="L129" s="280">
        <f>L130</f>
        <v>1</v>
      </c>
      <c r="M129" s="267">
        <f>M130</f>
        <v>0</v>
      </c>
      <c r="N129" s="99">
        <f>N130</f>
        <v>0</v>
      </c>
      <c r="O129" s="2986">
        <f>IF(Q129&gt;0,N129,"NA")</f>
        <v>0</v>
      </c>
      <c r="P129" s="151">
        <f>P130</f>
        <v>200000000</v>
      </c>
      <c r="Q129" s="151">
        <f>Q130</f>
        <v>200000000</v>
      </c>
      <c r="R129" s="151">
        <f>R130</f>
        <v>7292000</v>
      </c>
      <c r="S129" s="151">
        <f>S130</f>
        <v>0</v>
      </c>
      <c r="T129" s="77">
        <f>+IF(Q129=0,0,R129/Q129)</f>
        <v>3.6459999999999999E-2</v>
      </c>
      <c r="U129" s="77">
        <f>+IF(R129=0,0,S129/R129)</f>
        <v>0</v>
      </c>
      <c r="V129" s="896"/>
      <c r="W129" s="897"/>
      <c r="X129" s="91"/>
      <c r="Y129" s="2988" t="s">
        <v>169</v>
      </c>
    </row>
    <row r="130" spans="1:25" ht="158.4">
      <c r="A130" s="2991"/>
      <c r="B130" s="2984"/>
      <c r="C130" s="2991"/>
      <c r="D130" s="2985"/>
      <c r="E130" s="95" t="s">
        <v>317</v>
      </c>
      <c r="F130" s="92"/>
      <c r="G130" s="115" t="s">
        <v>250</v>
      </c>
      <c r="H130" s="92"/>
      <c r="I130" s="295" t="s">
        <v>357</v>
      </c>
      <c r="J130" s="295" t="s">
        <v>251</v>
      </c>
      <c r="K130" s="93">
        <v>1</v>
      </c>
      <c r="L130" s="269">
        <v>1</v>
      </c>
      <c r="M130" s="281">
        <v>0</v>
      </c>
      <c r="N130" s="99">
        <v>0</v>
      </c>
      <c r="O130" s="2987"/>
      <c r="P130" s="151">
        <v>200000000</v>
      </c>
      <c r="Q130" s="151">
        <v>200000000</v>
      </c>
      <c r="R130" s="151">
        <v>7292000</v>
      </c>
      <c r="S130" s="151">
        <v>0</v>
      </c>
      <c r="T130" s="77">
        <f>+IF(Q130=0,0,R130/Q130)</f>
        <v>3.6459999999999999E-2</v>
      </c>
      <c r="U130" s="77">
        <f>+IF(R130=0,0,S130/R130)</f>
        <v>0</v>
      </c>
      <c r="V130" s="896">
        <v>44999</v>
      </c>
      <c r="W130" s="897">
        <v>45077</v>
      </c>
      <c r="X130" s="270" t="s">
        <v>458</v>
      </c>
      <c r="Y130" s="2989"/>
    </row>
    <row r="131" spans="1:25" ht="27.6">
      <c r="A131" s="322"/>
      <c r="B131" s="275">
        <v>54020020025</v>
      </c>
      <c r="C131" s="275" t="s">
        <v>117</v>
      </c>
      <c r="D131" s="276" t="s">
        <v>252</v>
      </c>
      <c r="E131" s="116"/>
      <c r="F131" s="94"/>
      <c r="G131" s="105"/>
      <c r="H131" s="91"/>
      <c r="I131" s="105"/>
      <c r="J131" s="105"/>
      <c r="K131" s="72"/>
      <c r="L131" s="91"/>
      <c r="M131" s="91"/>
      <c r="N131" s="291"/>
      <c r="O131" s="77"/>
      <c r="P131" s="91"/>
      <c r="Q131" s="91"/>
      <c r="R131" s="91"/>
      <c r="S131" s="91"/>
      <c r="T131" s="220"/>
      <c r="U131" s="220"/>
      <c r="V131" s="294"/>
      <c r="W131" s="294"/>
      <c r="X131" s="91"/>
      <c r="Y131" s="72"/>
    </row>
    <row r="132" spans="1:25">
      <c r="A132" s="2991">
        <v>4132</v>
      </c>
      <c r="B132" s="2984"/>
      <c r="C132" s="2984" t="s">
        <v>123</v>
      </c>
      <c r="D132" s="2985" t="s">
        <v>253</v>
      </c>
      <c r="E132" s="142" t="s">
        <v>459</v>
      </c>
      <c r="F132" s="92"/>
      <c r="G132" s="142"/>
      <c r="H132" s="92"/>
      <c r="I132" s="115"/>
      <c r="J132" s="115"/>
      <c r="K132" s="142">
        <f>+K133</f>
        <v>2</v>
      </c>
      <c r="L132" s="283">
        <f>L133</f>
        <v>1</v>
      </c>
      <c r="M132" s="267">
        <f>M133</f>
        <v>0</v>
      </c>
      <c r="N132" s="99">
        <f>N133</f>
        <v>0.02</v>
      </c>
      <c r="O132" s="2986">
        <f>IF(Q132&gt;0,N132,"NA")</f>
        <v>0.02</v>
      </c>
      <c r="P132" s="151">
        <f>P133</f>
        <v>2990000000</v>
      </c>
      <c r="Q132" s="151">
        <f>Q133</f>
        <v>2411336822</v>
      </c>
      <c r="R132" s="151">
        <f>R133</f>
        <v>37380000</v>
      </c>
      <c r="S132" s="151">
        <f>S133</f>
        <v>5231000</v>
      </c>
      <c r="T132" s="77">
        <f>+IF(Q132=0,0,R132/Q132)</f>
        <v>1.5501774641750982E-2</v>
      </c>
      <c r="U132" s="77">
        <f>+IF(R132=0,0,S132/R132)</f>
        <v>0.13994114499732477</v>
      </c>
      <c r="V132" s="896"/>
      <c r="W132" s="897"/>
      <c r="X132" s="91"/>
      <c r="Y132" s="2988" t="s">
        <v>169</v>
      </c>
    </row>
    <row r="133" spans="1:25" ht="79.2">
      <c r="A133" s="2991"/>
      <c r="B133" s="2984"/>
      <c r="C133" s="2984"/>
      <c r="D133" s="2985"/>
      <c r="E133" s="95" t="s">
        <v>460</v>
      </c>
      <c r="F133" s="92"/>
      <c r="G133" s="95" t="s">
        <v>252</v>
      </c>
      <c r="H133" s="92"/>
      <c r="I133" s="115" t="s">
        <v>461</v>
      </c>
      <c r="J133" s="115" t="s">
        <v>462</v>
      </c>
      <c r="K133" s="142">
        <v>2</v>
      </c>
      <c r="L133" s="283">
        <v>1</v>
      </c>
      <c r="M133" s="281">
        <v>0</v>
      </c>
      <c r="N133" s="99">
        <v>0.02</v>
      </c>
      <c r="O133" s="2987"/>
      <c r="P133" s="151">
        <v>2990000000</v>
      </c>
      <c r="Q133" s="151">
        <v>2411336822</v>
      </c>
      <c r="R133" s="151">
        <v>37380000</v>
      </c>
      <c r="S133" s="151">
        <v>5231000</v>
      </c>
      <c r="T133" s="77">
        <f>+IF(Q133=0,0,R133/Q133)</f>
        <v>1.5501774641750982E-2</v>
      </c>
      <c r="U133" s="77">
        <f>+IF(R133=0,0,S133/R133)</f>
        <v>0.13994114499732477</v>
      </c>
      <c r="V133" s="896">
        <v>45343</v>
      </c>
      <c r="W133" s="897">
        <v>45657</v>
      </c>
      <c r="X133" s="270" t="s">
        <v>463</v>
      </c>
      <c r="Y133" s="2989"/>
    </row>
    <row r="134" spans="1:25">
      <c r="A134" s="321"/>
      <c r="B134" s="339">
        <v>5402003</v>
      </c>
      <c r="C134" s="339" t="s">
        <v>116</v>
      </c>
      <c r="D134" s="340" t="s">
        <v>254</v>
      </c>
      <c r="E134" s="90"/>
      <c r="F134" s="301"/>
      <c r="G134" s="146"/>
      <c r="H134" s="301"/>
      <c r="I134" s="90"/>
      <c r="J134" s="90"/>
      <c r="K134" s="146"/>
      <c r="L134" s="273"/>
      <c r="M134" s="273"/>
      <c r="N134" s="291"/>
      <c r="O134" s="77"/>
      <c r="P134" s="91"/>
      <c r="Q134" s="91"/>
      <c r="R134" s="91"/>
      <c r="S134" s="91"/>
      <c r="T134" s="220"/>
      <c r="U134" s="220"/>
      <c r="V134" s="899"/>
      <c r="W134" s="899"/>
      <c r="X134" s="91"/>
      <c r="Y134" s="72"/>
    </row>
    <row r="135" spans="1:25">
      <c r="A135" s="322"/>
      <c r="B135" s="275">
        <v>54020030019</v>
      </c>
      <c r="C135" s="275" t="s">
        <v>117</v>
      </c>
      <c r="D135" s="276" t="s">
        <v>256</v>
      </c>
      <c r="E135" s="105"/>
      <c r="F135" s="94"/>
      <c r="G135" s="105"/>
      <c r="H135" s="91"/>
      <c r="I135" s="105"/>
      <c r="J135" s="105"/>
      <c r="K135" s="72"/>
      <c r="L135" s="91"/>
      <c r="M135" s="91"/>
      <c r="N135" s="291"/>
      <c r="O135" s="77"/>
      <c r="P135" s="91"/>
      <c r="Q135" s="91"/>
      <c r="R135" s="91"/>
      <c r="S135" s="91"/>
      <c r="T135" s="220"/>
      <c r="U135" s="220"/>
      <c r="V135" s="294"/>
      <c r="W135" s="294"/>
      <c r="X135" s="91"/>
      <c r="Y135" s="72"/>
    </row>
    <row r="136" spans="1:25">
      <c r="A136" s="2991">
        <v>4132</v>
      </c>
      <c r="B136" s="2984"/>
      <c r="C136" s="2984" t="s">
        <v>123</v>
      </c>
      <c r="D136" s="2985" t="s">
        <v>257</v>
      </c>
      <c r="E136" s="142" t="s">
        <v>258</v>
      </c>
      <c r="F136" s="92"/>
      <c r="G136" s="142"/>
      <c r="H136" s="92"/>
      <c r="I136" s="115"/>
      <c r="J136" s="115"/>
      <c r="K136" s="142">
        <f>K137</f>
        <v>1</v>
      </c>
      <c r="L136" s="283">
        <f>L137+L138</f>
        <v>1</v>
      </c>
      <c r="M136" s="267">
        <f>M137+M138</f>
        <v>0</v>
      </c>
      <c r="N136" s="99">
        <f>N137+N138</f>
        <v>1.4999999999999999E-2</v>
      </c>
      <c r="O136" s="2986">
        <f>IF(Q136&gt;0,N136,"na")</f>
        <v>1.4999999999999999E-2</v>
      </c>
      <c r="P136" s="151">
        <f>P137+P138</f>
        <v>1116067000</v>
      </c>
      <c r="Q136" s="151">
        <f>Q137+Q138</f>
        <v>1116067000</v>
      </c>
      <c r="R136" s="151">
        <f>R137+R138</f>
        <v>436311000</v>
      </c>
      <c r="S136" s="151">
        <f>S137+S138</f>
        <v>214682000</v>
      </c>
      <c r="T136" s="77">
        <f t="shared" ref="T136:U138" si="14">+IF(Q136=0,0,R136/Q136)</f>
        <v>0.39093620723487033</v>
      </c>
      <c r="U136" s="77">
        <f t="shared" si="14"/>
        <v>0.49203893552993161</v>
      </c>
      <c r="V136" s="896"/>
      <c r="W136" s="897"/>
      <c r="X136" s="91"/>
      <c r="Y136" s="2988" t="s">
        <v>155</v>
      </c>
    </row>
    <row r="137" spans="1:25" ht="118.8">
      <c r="A137" s="2991"/>
      <c r="B137" s="2984"/>
      <c r="C137" s="2984"/>
      <c r="D137" s="2985"/>
      <c r="E137" s="95" t="s">
        <v>318</v>
      </c>
      <c r="F137" s="2992"/>
      <c r="G137" s="115" t="s">
        <v>256</v>
      </c>
      <c r="H137" s="92"/>
      <c r="I137" s="115" t="s">
        <v>259</v>
      </c>
      <c r="J137" s="115" t="s">
        <v>260</v>
      </c>
      <c r="K137" s="142">
        <v>1</v>
      </c>
      <c r="L137" s="283">
        <v>0.74</v>
      </c>
      <c r="M137" s="281">
        <v>0</v>
      </c>
      <c r="N137" s="99">
        <v>5.0000000000000001E-3</v>
      </c>
      <c r="O137" s="2987"/>
      <c r="P137" s="151">
        <v>621108000</v>
      </c>
      <c r="Q137" s="151">
        <v>621108000</v>
      </c>
      <c r="R137" s="151">
        <v>264151500</v>
      </c>
      <c r="S137" s="151">
        <v>162701500</v>
      </c>
      <c r="T137" s="77">
        <f t="shared" si="14"/>
        <v>0.42529077068722348</v>
      </c>
      <c r="U137" s="77">
        <f t="shared" si="14"/>
        <v>0.61594009498337132</v>
      </c>
      <c r="V137" s="896">
        <v>45324</v>
      </c>
      <c r="W137" s="897">
        <v>45657</v>
      </c>
      <c r="X137" s="207" t="s">
        <v>464</v>
      </c>
      <c r="Y137" s="2989"/>
    </row>
    <row r="138" spans="1:25" ht="105.6">
      <c r="A138" s="3006"/>
      <c r="B138" s="3007"/>
      <c r="C138" s="3007"/>
      <c r="D138" s="3008"/>
      <c r="E138" s="121" t="s">
        <v>319</v>
      </c>
      <c r="F138" s="3010"/>
      <c r="G138" s="148"/>
      <c r="H138" s="314"/>
      <c r="I138" s="210" t="s">
        <v>261</v>
      </c>
      <c r="J138" s="210" t="s">
        <v>255</v>
      </c>
      <c r="K138" s="148">
        <v>1</v>
      </c>
      <c r="L138" s="284">
        <v>0.26</v>
      </c>
      <c r="M138" s="284">
        <v>0</v>
      </c>
      <c r="N138" s="315">
        <v>0.01</v>
      </c>
      <c r="O138" s="3009"/>
      <c r="P138" s="157">
        <v>494959000</v>
      </c>
      <c r="Q138" s="157">
        <v>494959000</v>
      </c>
      <c r="R138" s="157">
        <v>172159500</v>
      </c>
      <c r="S138" s="157">
        <v>51980500</v>
      </c>
      <c r="T138" s="163">
        <f t="shared" si="14"/>
        <v>0.34782577950900984</v>
      </c>
      <c r="U138" s="163">
        <f t="shared" si="14"/>
        <v>0.3019322198310288</v>
      </c>
      <c r="V138" s="903">
        <v>45324</v>
      </c>
      <c r="W138" s="904">
        <v>45657</v>
      </c>
      <c r="X138" s="285" t="s">
        <v>465</v>
      </c>
      <c r="Y138" s="3010"/>
    </row>
    <row r="139" spans="1:25">
      <c r="A139" s="54"/>
      <c r="B139" s="107"/>
      <c r="C139" s="106"/>
      <c r="D139" s="54"/>
      <c r="E139" s="107"/>
      <c r="F139" s="54"/>
      <c r="G139" s="54"/>
      <c r="H139" s="54"/>
      <c r="I139" s="54"/>
      <c r="J139" s="106"/>
      <c r="K139" s="106"/>
      <c r="L139" s="54"/>
      <c r="M139" s="54"/>
      <c r="N139" s="203"/>
      <c r="O139" s="109"/>
      <c r="P139" s="54"/>
      <c r="Q139" s="54"/>
      <c r="R139" s="54"/>
      <c r="S139" s="54"/>
      <c r="T139" s="79"/>
      <c r="U139" s="79"/>
      <c r="V139" s="54"/>
      <c r="W139" s="54"/>
      <c r="X139" s="56"/>
      <c r="Y139" s="162"/>
    </row>
    <row r="140" spans="1:25">
      <c r="A140" s="52"/>
      <c r="B140" s="111" t="s">
        <v>50</v>
      </c>
      <c r="C140" s="53">
        <f>COUNTIF(C7:C138,"pr")</f>
        <v>29</v>
      </c>
      <c r="D140" s="52"/>
      <c r="E140" s="360" t="s">
        <v>126</v>
      </c>
      <c r="F140" s="361"/>
      <c r="G140" s="361">
        <f>COUNTIF(O10:O138,"na")</f>
        <v>0</v>
      </c>
      <c r="H140" s="53"/>
      <c r="I140" s="52"/>
      <c r="J140" s="53"/>
      <c r="K140" s="53"/>
      <c r="L140" s="204"/>
      <c r="M140" s="52"/>
      <c r="N140" s="205" t="s">
        <v>127</v>
      </c>
      <c r="O140" s="123">
        <f>AVERAGE(O10:O138)</f>
        <v>7.3217241379310349E-2</v>
      </c>
      <c r="P140" s="55">
        <f t="shared" ref="P140:S140" si="15">+P11+P14+P21+P24+P27+P31+P35+P40+P43+P50+P55+P63+P70+P74+P77+P80+P83+P89+P92+P96+P101+P105+P111+P116+P122+P126+P129+P132+P136</f>
        <v>25423593178</v>
      </c>
      <c r="Q140" s="55">
        <f t="shared" si="15"/>
        <v>25423593178</v>
      </c>
      <c r="R140" s="55">
        <f t="shared" si="15"/>
        <v>4471942000</v>
      </c>
      <c r="S140" s="55">
        <f t="shared" si="15"/>
        <v>1860036498</v>
      </c>
      <c r="T140" s="55"/>
      <c r="U140" s="55"/>
      <c r="V140" s="52"/>
      <c r="W140" s="52"/>
      <c r="X140" s="57"/>
      <c r="Y140" s="113"/>
    </row>
    <row r="141" spans="1:25" ht="15.6">
      <c r="A141" s="165"/>
      <c r="B141" s="111"/>
      <c r="C141" s="53"/>
      <c r="D141" s="111"/>
      <c r="E141" s="111"/>
      <c r="F141" s="52"/>
      <c r="G141" s="52"/>
      <c r="H141" s="53"/>
      <c r="I141" s="111"/>
      <c r="J141" s="206"/>
      <c r="K141" s="204"/>
      <c r="L141" s="204"/>
      <c r="M141" s="52"/>
      <c r="N141" s="205" t="s">
        <v>147</v>
      </c>
      <c r="O141" s="61">
        <f>COUNTIF(O10:O138,"=0%")</f>
        <v>7</v>
      </c>
      <c r="P141" s="55">
        <v>25423593178</v>
      </c>
      <c r="Q141" s="55">
        <v>25423593178</v>
      </c>
      <c r="R141" s="55">
        <v>4471942000</v>
      </c>
      <c r="S141" s="55">
        <v>1860036498</v>
      </c>
      <c r="T141" s="54"/>
      <c r="U141" s="52"/>
      <c r="V141" s="52"/>
      <c r="W141" s="52"/>
      <c r="X141" s="57"/>
      <c r="Y141" s="113"/>
    </row>
    <row r="142" spans="1:25">
      <c r="A142" s="106"/>
      <c r="B142" s="54"/>
      <c r="C142" s="106"/>
      <c r="D142" s="54"/>
      <c r="E142" s="54"/>
      <c r="F142" s="54"/>
      <c r="G142" s="54"/>
      <c r="H142" s="54"/>
      <c r="I142" s="54"/>
      <c r="J142" s="106"/>
      <c r="K142" s="107"/>
      <c r="L142" s="107"/>
      <c r="M142" s="107"/>
      <c r="N142" s="54"/>
      <c r="O142" s="106"/>
      <c r="P142" s="55">
        <f t="shared" ref="P142:S142" si="16">+P141-P140</f>
        <v>0</v>
      </c>
      <c r="Q142" s="55">
        <f t="shared" si="16"/>
        <v>0</v>
      </c>
      <c r="R142" s="55">
        <f t="shared" si="16"/>
        <v>0</v>
      </c>
      <c r="S142" s="55">
        <f t="shared" si="16"/>
        <v>0</v>
      </c>
      <c r="T142" s="54"/>
      <c r="U142" s="54"/>
      <c r="V142" s="54"/>
      <c r="W142" s="54"/>
      <c r="X142" s="54"/>
      <c r="Y142" s="56"/>
    </row>
  </sheetData>
  <autoFilter ref="A5:Y6" xr:uid="{00000000-0009-0000-0000-000007000000}"/>
  <mergeCells count="217">
    <mergeCell ref="A126:A127"/>
    <mergeCell ref="B126:B127"/>
    <mergeCell ref="C126:C127"/>
    <mergeCell ref="D126:D127"/>
    <mergeCell ref="O126:O127"/>
    <mergeCell ref="Y126:Y127"/>
    <mergeCell ref="O132:O133"/>
    <mergeCell ref="Y132:Y133"/>
    <mergeCell ref="A136:A138"/>
    <mergeCell ref="B136:B138"/>
    <mergeCell ref="C136:C138"/>
    <mergeCell ref="D136:D138"/>
    <mergeCell ref="O136:O138"/>
    <mergeCell ref="Y136:Y138"/>
    <mergeCell ref="F137:F138"/>
    <mergeCell ref="A129:A130"/>
    <mergeCell ref="B129:B130"/>
    <mergeCell ref="C129:C130"/>
    <mergeCell ref="D129:D130"/>
    <mergeCell ref="O129:O130"/>
    <mergeCell ref="Y129:Y130"/>
    <mergeCell ref="A132:A133"/>
    <mergeCell ref="B132:B133"/>
    <mergeCell ref="C132:C133"/>
    <mergeCell ref="A105:A109"/>
    <mergeCell ref="B105:B109"/>
    <mergeCell ref="C105:C109"/>
    <mergeCell ref="D105:D109"/>
    <mergeCell ref="O105:O109"/>
    <mergeCell ref="Y105:Y109"/>
    <mergeCell ref="F106:F109"/>
    <mergeCell ref="A111:A114"/>
    <mergeCell ref="B111:B114"/>
    <mergeCell ref="C111:C114"/>
    <mergeCell ref="D111:D114"/>
    <mergeCell ref="O111:O114"/>
    <mergeCell ref="Y111:Y114"/>
    <mergeCell ref="F112:F114"/>
    <mergeCell ref="A96:A99"/>
    <mergeCell ref="B96:B99"/>
    <mergeCell ref="C96:C99"/>
    <mergeCell ref="D96:D99"/>
    <mergeCell ref="F96:F99"/>
    <mergeCell ref="O96:O99"/>
    <mergeCell ref="Y96:Y99"/>
    <mergeCell ref="A101:A103"/>
    <mergeCell ref="B101:B103"/>
    <mergeCell ref="C101:C103"/>
    <mergeCell ref="D101:D103"/>
    <mergeCell ref="O101:O103"/>
    <mergeCell ref="Y101:Y103"/>
    <mergeCell ref="F102:F103"/>
    <mergeCell ref="A83:A86"/>
    <mergeCell ref="B83:B86"/>
    <mergeCell ref="C83:C86"/>
    <mergeCell ref="D83:D86"/>
    <mergeCell ref="O83:O86"/>
    <mergeCell ref="Y83:Y86"/>
    <mergeCell ref="A80:A81"/>
    <mergeCell ref="B80:B81"/>
    <mergeCell ref="C80:C81"/>
    <mergeCell ref="D80:D81"/>
    <mergeCell ref="O80:O81"/>
    <mergeCell ref="Y80:Y81"/>
    <mergeCell ref="Y50:Y51"/>
    <mergeCell ref="A55:A58"/>
    <mergeCell ref="B55:B58"/>
    <mergeCell ref="C55:C58"/>
    <mergeCell ref="D55:D58"/>
    <mergeCell ref="O55:O58"/>
    <mergeCell ref="Y55:Y58"/>
    <mergeCell ref="F57:F58"/>
    <mergeCell ref="A43:A45"/>
    <mergeCell ref="B43:B45"/>
    <mergeCell ref="C43:C45"/>
    <mergeCell ref="D43:D45"/>
    <mergeCell ref="O43:O45"/>
    <mergeCell ref="Y43:Y45"/>
    <mergeCell ref="Y31:Y32"/>
    <mergeCell ref="A35:A37"/>
    <mergeCell ref="B35:B37"/>
    <mergeCell ref="C35:C37"/>
    <mergeCell ref="D35:D37"/>
    <mergeCell ref="O35:O37"/>
    <mergeCell ref="Y35:Y37"/>
    <mergeCell ref="B27:B28"/>
    <mergeCell ref="C27:C28"/>
    <mergeCell ref="D27:D28"/>
    <mergeCell ref="O27:O28"/>
    <mergeCell ref="Y27:Y28"/>
    <mergeCell ref="A1:X1"/>
    <mergeCell ref="B5:B6"/>
    <mergeCell ref="C5:C6"/>
    <mergeCell ref="U5:U6"/>
    <mergeCell ref="A3:B3"/>
    <mergeCell ref="P5:P6"/>
    <mergeCell ref="Q5:Q6"/>
    <mergeCell ref="H5:H6"/>
    <mergeCell ref="F5:F6"/>
    <mergeCell ref="C3:R3"/>
    <mergeCell ref="M5:M6"/>
    <mergeCell ref="I5:I6"/>
    <mergeCell ref="R5:R6"/>
    <mergeCell ref="L5:L6"/>
    <mergeCell ref="O5:O6"/>
    <mergeCell ref="N5:N6"/>
    <mergeCell ref="A4:Y4"/>
    <mergeCell ref="K5:K6"/>
    <mergeCell ref="A2:Y2"/>
    <mergeCell ref="Y5:Y6"/>
    <mergeCell ref="G5:G6"/>
    <mergeCell ref="E5:E6"/>
    <mergeCell ref="A5:A6"/>
    <mergeCell ref="X5:X6"/>
    <mergeCell ref="B11:B12"/>
    <mergeCell ref="C11:C12"/>
    <mergeCell ref="D11:D12"/>
    <mergeCell ref="O11:O12"/>
    <mergeCell ref="Y11:Y12"/>
    <mergeCell ref="A11:A12"/>
    <mergeCell ref="S3:U3"/>
    <mergeCell ref="V3:W3"/>
    <mergeCell ref="W5:W6"/>
    <mergeCell ref="D5:D6"/>
    <mergeCell ref="S5:S6"/>
    <mergeCell ref="T5:T6"/>
    <mergeCell ref="V5:V6"/>
    <mergeCell ref="J5:J6"/>
    <mergeCell ref="Y14:Y16"/>
    <mergeCell ref="F15:F16"/>
    <mergeCell ref="A40:A41"/>
    <mergeCell ref="B40:B41"/>
    <mergeCell ref="C40:C41"/>
    <mergeCell ref="D40:D41"/>
    <mergeCell ref="O40:O41"/>
    <mergeCell ref="Y40:Y41"/>
    <mergeCell ref="A21:A22"/>
    <mergeCell ref="B21:B22"/>
    <mergeCell ref="C21:C22"/>
    <mergeCell ref="D21:D22"/>
    <mergeCell ref="O21:O22"/>
    <mergeCell ref="Y21:Y22"/>
    <mergeCell ref="A23:A25"/>
    <mergeCell ref="B24:B25"/>
    <mergeCell ref="C24:C25"/>
    <mergeCell ref="D24:D25"/>
    <mergeCell ref="O24:O25"/>
    <mergeCell ref="Y24:Y25"/>
    <mergeCell ref="A27:A28"/>
    <mergeCell ref="A31:A32"/>
    <mergeCell ref="B31:B32"/>
    <mergeCell ref="C31:C32"/>
    <mergeCell ref="B74:B75"/>
    <mergeCell ref="C74:C75"/>
    <mergeCell ref="D74:D75"/>
    <mergeCell ref="O74:O75"/>
    <mergeCell ref="A14:A16"/>
    <mergeCell ref="B14:B16"/>
    <mergeCell ref="C14:C16"/>
    <mergeCell ref="D14:D16"/>
    <mergeCell ref="O14:O16"/>
    <mergeCell ref="D31:D32"/>
    <mergeCell ref="O31:O32"/>
    <mergeCell ref="F44:F45"/>
    <mergeCell ref="A50:A51"/>
    <mergeCell ref="B50:B51"/>
    <mergeCell ref="C50:C51"/>
    <mergeCell ref="D50:D51"/>
    <mergeCell ref="O50:O51"/>
    <mergeCell ref="Y116:Y120"/>
    <mergeCell ref="F117:F120"/>
    <mergeCell ref="G117:G120"/>
    <mergeCell ref="A122:A124"/>
    <mergeCell ref="B122:B124"/>
    <mergeCell ref="A63:A65"/>
    <mergeCell ref="B63:B65"/>
    <mergeCell ref="C63:C65"/>
    <mergeCell ref="D63:D65"/>
    <mergeCell ref="O63:O65"/>
    <mergeCell ref="Y63:Y65"/>
    <mergeCell ref="A70:A73"/>
    <mergeCell ref="A77:A78"/>
    <mergeCell ref="B77:B78"/>
    <mergeCell ref="B70:B73"/>
    <mergeCell ref="C70:C73"/>
    <mergeCell ref="D70:D73"/>
    <mergeCell ref="O70:O73"/>
    <mergeCell ref="C77:C78"/>
    <mergeCell ref="D77:D78"/>
    <mergeCell ref="O77:O78"/>
    <mergeCell ref="Y77:Y78"/>
    <mergeCell ref="Y70:Y73"/>
    <mergeCell ref="A74:A75"/>
    <mergeCell ref="C122:C124"/>
    <mergeCell ref="D122:D124"/>
    <mergeCell ref="O122:O124"/>
    <mergeCell ref="Y122:Y124"/>
    <mergeCell ref="F123:F124"/>
    <mergeCell ref="D132:D133"/>
    <mergeCell ref="A89:A91"/>
    <mergeCell ref="B89:B91"/>
    <mergeCell ref="C89:C91"/>
    <mergeCell ref="D89:D91"/>
    <mergeCell ref="O89:O91"/>
    <mergeCell ref="Y89:Y91"/>
    <mergeCell ref="F90:F91"/>
    <mergeCell ref="A92:A94"/>
    <mergeCell ref="B92:B94"/>
    <mergeCell ref="C92:C94"/>
    <mergeCell ref="D92:D94"/>
    <mergeCell ref="O92:O94"/>
    <mergeCell ref="Y92:Y94"/>
    <mergeCell ref="A116:A120"/>
    <mergeCell ref="B116:B120"/>
    <mergeCell ref="C116:C120"/>
    <mergeCell ref="D116:D120"/>
    <mergeCell ref="O116:O120"/>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82"/>
  <sheetViews>
    <sheetView showWhiteSpace="0"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0" width="12.6640625" style="3" customWidth="1"/>
    <col min="21" max="21" width="14.44140625" style="3" bestFit="1" customWidth="1"/>
    <col min="22" max="23" width="10.6640625" style="3" customWidth="1"/>
    <col min="24" max="24" width="34" style="3" customWidth="1"/>
    <col min="25" max="25" width="17.109375" style="17" customWidth="1"/>
    <col min="26"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ht="25.5" customHeight="1">
      <c r="A2" s="3018"/>
      <c r="B2" s="3019"/>
      <c r="C2" s="3019"/>
      <c r="D2" s="3019"/>
      <c r="E2" s="3019"/>
      <c r="F2" s="3019"/>
      <c r="G2" s="3019"/>
      <c r="H2" s="3019"/>
      <c r="I2" s="3019"/>
      <c r="J2" s="3019"/>
      <c r="K2" s="3019"/>
      <c r="L2" s="3019"/>
      <c r="M2" s="3019"/>
      <c r="N2" s="3019"/>
      <c r="O2" s="3019"/>
      <c r="P2" s="3019"/>
      <c r="Q2" s="3019"/>
      <c r="R2" s="3019"/>
      <c r="S2" s="3019"/>
      <c r="T2" s="3019"/>
      <c r="U2" s="3019"/>
      <c r="V2" s="3019"/>
      <c r="W2" s="3019"/>
      <c r="X2" s="3019"/>
      <c r="Y2" s="3020"/>
    </row>
    <row r="3" spans="1:25" s="27" customFormat="1" ht="24.9" customHeight="1">
      <c r="A3" s="3021" t="s">
        <v>87</v>
      </c>
      <c r="B3" s="3021"/>
      <c r="C3" s="3021" t="s">
        <v>61</v>
      </c>
      <c r="D3" s="3021"/>
      <c r="E3" s="3021"/>
      <c r="F3" s="3021"/>
      <c r="G3" s="3021"/>
      <c r="H3" s="3021"/>
      <c r="I3" s="3021"/>
      <c r="J3" s="3021"/>
      <c r="K3" s="3021"/>
      <c r="L3" s="3021"/>
      <c r="M3" s="3021"/>
      <c r="N3" s="3021"/>
      <c r="O3" s="3021"/>
      <c r="P3" s="3021"/>
      <c r="Q3" s="3021"/>
      <c r="R3" s="3021"/>
      <c r="S3" s="2876" t="s">
        <v>17</v>
      </c>
      <c r="T3" s="2876"/>
      <c r="U3" s="2876"/>
      <c r="V3" s="2877">
        <v>45382</v>
      </c>
      <c r="W3" s="2876"/>
      <c r="X3" s="41" t="s">
        <v>5</v>
      </c>
      <c r="Y3" s="43">
        <v>2024</v>
      </c>
    </row>
    <row r="4" spans="1:25" ht="25.5" customHeight="1">
      <c r="A4" s="3013"/>
      <c r="B4" s="3013"/>
      <c r="C4" s="3013"/>
      <c r="D4" s="3013"/>
      <c r="E4" s="3013"/>
      <c r="F4" s="3013"/>
      <c r="G4" s="3013"/>
      <c r="H4" s="3013"/>
      <c r="I4" s="3013"/>
      <c r="J4" s="3013"/>
      <c r="K4" s="3013"/>
      <c r="L4" s="3013"/>
      <c r="M4" s="3013"/>
      <c r="N4" s="3013"/>
      <c r="O4" s="3013"/>
      <c r="P4" s="3013"/>
      <c r="Q4" s="3013"/>
      <c r="R4" s="3013"/>
      <c r="S4" s="3013"/>
      <c r="T4" s="3013"/>
      <c r="U4" s="3013"/>
      <c r="V4" s="3013"/>
      <c r="W4" s="3013"/>
      <c r="X4" s="3013"/>
      <c r="Y4" s="3013"/>
    </row>
    <row r="5" spans="1:25" ht="53.25" customHeight="1">
      <c r="A5" s="2944" t="s">
        <v>88</v>
      </c>
      <c r="B5" s="2944" t="s">
        <v>4</v>
      </c>
      <c r="C5" s="2944" t="s">
        <v>3</v>
      </c>
      <c r="D5" s="2944" t="s">
        <v>108</v>
      </c>
      <c r="E5" s="2944" t="s">
        <v>2</v>
      </c>
      <c r="F5" s="2944" t="s">
        <v>89</v>
      </c>
      <c r="G5" s="2944" t="s">
        <v>106</v>
      </c>
      <c r="H5" s="2944" t="s">
        <v>107</v>
      </c>
      <c r="I5" s="2944" t="s">
        <v>8</v>
      </c>
      <c r="J5" s="2944" t="s">
        <v>9</v>
      </c>
      <c r="K5" s="2944" t="s">
        <v>10</v>
      </c>
      <c r="L5" s="3024" t="s">
        <v>11</v>
      </c>
      <c r="M5" s="2946" t="s">
        <v>100</v>
      </c>
      <c r="N5" s="3011" t="s">
        <v>12</v>
      </c>
      <c r="O5" s="3014" t="s">
        <v>86</v>
      </c>
      <c r="P5" s="3016" t="s">
        <v>1</v>
      </c>
      <c r="Q5" s="3011" t="s">
        <v>13</v>
      </c>
      <c r="R5" s="3011" t="s">
        <v>14</v>
      </c>
      <c r="S5" s="3011" t="s">
        <v>16</v>
      </c>
      <c r="T5" s="3014" t="s">
        <v>15</v>
      </c>
      <c r="U5" s="3014" t="s">
        <v>103</v>
      </c>
      <c r="V5" s="3016" t="s">
        <v>6</v>
      </c>
      <c r="W5" s="3016" t="s">
        <v>7</v>
      </c>
      <c r="X5" s="3011" t="s">
        <v>0</v>
      </c>
      <c r="Y5" s="3022" t="s">
        <v>90</v>
      </c>
    </row>
    <row r="6" spans="1:25" ht="42.75" customHeight="1">
      <c r="A6" s="2944"/>
      <c r="B6" s="2944"/>
      <c r="C6" s="2944"/>
      <c r="D6" s="2944"/>
      <c r="E6" s="2944"/>
      <c r="F6" s="2944"/>
      <c r="G6" s="2944"/>
      <c r="H6" s="2944"/>
      <c r="I6" s="2944"/>
      <c r="J6" s="2944"/>
      <c r="K6" s="2944"/>
      <c r="L6" s="3025"/>
      <c r="M6" s="2946"/>
      <c r="N6" s="3012"/>
      <c r="O6" s="3015"/>
      <c r="P6" s="3017"/>
      <c r="Q6" s="3012"/>
      <c r="R6" s="3012"/>
      <c r="S6" s="3012"/>
      <c r="T6" s="3015"/>
      <c r="U6" s="3015"/>
      <c r="V6" s="3017"/>
      <c r="W6" s="3017"/>
      <c r="X6" s="3012"/>
      <c r="Y6" s="3023"/>
    </row>
    <row r="7" spans="1:25" ht="15.6">
      <c r="A7" s="830"/>
      <c r="B7" s="795">
        <v>51</v>
      </c>
      <c r="C7" s="795" t="s">
        <v>114</v>
      </c>
      <c r="D7" s="796" t="s">
        <v>148</v>
      </c>
      <c r="E7" s="831"/>
      <c r="F7" s="832"/>
      <c r="G7" s="832"/>
      <c r="H7" s="832"/>
      <c r="I7" s="832"/>
      <c r="J7" s="832"/>
      <c r="K7" s="832"/>
      <c r="L7" s="832"/>
      <c r="M7" s="833"/>
      <c r="N7" s="834"/>
      <c r="O7" s="834"/>
      <c r="P7" s="833"/>
      <c r="Q7" s="833"/>
      <c r="R7" s="833"/>
      <c r="S7" s="833"/>
      <c r="T7" s="835"/>
      <c r="U7" s="835"/>
      <c r="V7" s="836"/>
      <c r="W7" s="832"/>
      <c r="X7" s="832"/>
      <c r="Y7" s="830"/>
    </row>
    <row r="8" spans="1:25" ht="15.6">
      <c r="A8" s="837"/>
      <c r="B8" s="237">
        <v>5101</v>
      </c>
      <c r="C8" s="237" t="s">
        <v>115</v>
      </c>
      <c r="D8" s="238" t="s">
        <v>149</v>
      </c>
      <c r="E8" s="838"/>
      <c r="F8" s="839"/>
      <c r="G8" s="839"/>
      <c r="H8" s="839"/>
      <c r="I8" s="839"/>
      <c r="J8" s="839"/>
      <c r="K8" s="839"/>
      <c r="L8" s="839"/>
      <c r="M8" s="840"/>
      <c r="N8" s="841"/>
      <c r="O8" s="841"/>
      <c r="P8" s="840"/>
      <c r="Q8" s="840"/>
      <c r="R8" s="840"/>
      <c r="S8" s="840"/>
      <c r="T8" s="842"/>
      <c r="U8" s="842"/>
      <c r="V8" s="843"/>
      <c r="W8" s="839"/>
      <c r="X8" s="839"/>
      <c r="Y8" s="837"/>
    </row>
    <row r="9" spans="1:25">
      <c r="A9" s="844"/>
      <c r="B9" s="797">
        <v>5101001</v>
      </c>
      <c r="C9" s="797" t="s">
        <v>116</v>
      </c>
      <c r="D9" s="798" t="s">
        <v>150</v>
      </c>
      <c r="E9" s="845"/>
      <c r="F9" s="846"/>
      <c r="G9" s="846"/>
      <c r="H9" s="846"/>
      <c r="I9" s="846"/>
      <c r="J9" s="846"/>
      <c r="K9" s="846"/>
      <c r="L9" s="846"/>
      <c r="M9" s="847"/>
      <c r="N9" s="848"/>
      <c r="O9" s="848"/>
      <c r="P9" s="847"/>
      <c r="Q9" s="847"/>
      <c r="R9" s="847"/>
      <c r="S9" s="847"/>
      <c r="T9" s="849"/>
      <c r="U9" s="849"/>
      <c r="V9" s="850"/>
      <c r="W9" s="846"/>
      <c r="X9" s="846"/>
      <c r="Y9" s="844"/>
    </row>
    <row r="10" spans="1:25" ht="27.6">
      <c r="A10" s="846"/>
      <c r="B10" s="851">
        <v>51010010041</v>
      </c>
      <c r="C10" s="851" t="s">
        <v>117</v>
      </c>
      <c r="D10" s="846" t="s">
        <v>706</v>
      </c>
      <c r="E10" s="845"/>
      <c r="F10" s="846"/>
      <c r="G10" s="846"/>
      <c r="H10" s="844"/>
      <c r="I10" s="846"/>
      <c r="J10" s="846"/>
      <c r="K10" s="846"/>
      <c r="L10" s="846"/>
      <c r="M10" s="847"/>
      <c r="N10" s="848"/>
      <c r="O10" s="848"/>
      <c r="P10" s="847"/>
      <c r="Q10" s="847"/>
      <c r="R10" s="847"/>
      <c r="S10" s="847"/>
      <c r="T10" s="849"/>
      <c r="U10" s="849"/>
      <c r="V10" s="850"/>
      <c r="W10" s="846"/>
      <c r="X10" s="846"/>
      <c r="Y10" s="844"/>
    </row>
    <row r="11" spans="1:25">
      <c r="A11" s="3027">
        <v>4133</v>
      </c>
      <c r="B11" s="852"/>
      <c r="C11" s="3027" t="s">
        <v>123</v>
      </c>
      <c r="D11" s="3028" t="s">
        <v>707</v>
      </c>
      <c r="E11" s="474" t="s">
        <v>708</v>
      </c>
      <c r="F11" s="799"/>
      <c r="G11" s="800"/>
      <c r="H11" s="799"/>
      <c r="I11" s="474"/>
      <c r="J11" s="474"/>
      <c r="K11" s="801">
        <v>1</v>
      </c>
      <c r="L11" s="802">
        <f>SUM(L12:L13)</f>
        <v>1</v>
      </c>
      <c r="M11" s="853">
        <f>SUM(M12:M13)</f>
        <v>2</v>
      </c>
      <c r="N11" s="854">
        <f>SUM(N12:N13)</f>
        <v>0.25</v>
      </c>
      <c r="O11" s="3029">
        <f>IF(Q11&gt;0,N11,"na")</f>
        <v>0.25</v>
      </c>
      <c r="P11" s="803">
        <f>SUM(P12:P13)</f>
        <v>1763205045</v>
      </c>
      <c r="Q11" s="803">
        <f t="shared" ref="Q11:S11" si="0">SUM(Q12:Q13)</f>
        <v>1988463006</v>
      </c>
      <c r="R11" s="803">
        <f t="shared" si="0"/>
        <v>392954000</v>
      </c>
      <c r="S11" s="803">
        <f t="shared" si="0"/>
        <v>217614500</v>
      </c>
      <c r="T11" s="886">
        <f t="shared" ref="T11:U22" si="1">+IF(Q11=0,0,R11/Q11)</f>
        <v>0.19761695279937233</v>
      </c>
      <c r="U11" s="886">
        <f t="shared" si="1"/>
        <v>0.55379128345811468</v>
      </c>
      <c r="V11" s="856"/>
      <c r="W11" s="857"/>
      <c r="X11" s="857"/>
      <c r="Y11" s="3037" t="s">
        <v>714</v>
      </c>
    </row>
    <row r="12" spans="1:25" ht="118.8">
      <c r="A12" s="3027"/>
      <c r="B12" s="859"/>
      <c r="C12" s="3027"/>
      <c r="D12" s="3028"/>
      <c r="E12" s="804" t="s">
        <v>709</v>
      </c>
      <c r="F12" s="799"/>
      <c r="G12" s="3031" t="s">
        <v>710</v>
      </c>
      <c r="H12" s="3032"/>
      <c r="I12" s="804" t="s">
        <v>711</v>
      </c>
      <c r="J12" s="804" t="s">
        <v>712</v>
      </c>
      <c r="K12" s="801">
        <v>1</v>
      </c>
      <c r="L12" s="802">
        <v>0.35</v>
      </c>
      <c r="M12" s="853">
        <v>1</v>
      </c>
      <c r="N12" s="860">
        <f>((M12/K12)*L12)/4</f>
        <v>8.7499999999999994E-2</v>
      </c>
      <c r="O12" s="3029"/>
      <c r="P12" s="803">
        <v>616000000</v>
      </c>
      <c r="Q12" s="803">
        <v>616000000</v>
      </c>
      <c r="R12" s="853">
        <v>94761500</v>
      </c>
      <c r="S12" s="853">
        <v>43732000</v>
      </c>
      <c r="T12" s="887">
        <f t="shared" si="1"/>
        <v>0.1538336038961039</v>
      </c>
      <c r="U12" s="887">
        <f t="shared" si="1"/>
        <v>0.46149543854835562</v>
      </c>
      <c r="V12" s="856">
        <v>45315</v>
      </c>
      <c r="W12" s="856">
        <v>45657</v>
      </c>
      <c r="X12" s="857" t="s">
        <v>713</v>
      </c>
      <c r="Y12" s="3038"/>
    </row>
    <row r="13" spans="1:25" ht="79.2">
      <c r="A13" s="3027"/>
      <c r="B13" s="859"/>
      <c r="C13" s="3027"/>
      <c r="D13" s="3028"/>
      <c r="E13" s="804" t="s">
        <v>715</v>
      </c>
      <c r="F13" s="570"/>
      <c r="G13" s="3031"/>
      <c r="H13" s="3032"/>
      <c r="I13" s="804" t="s">
        <v>716</v>
      </c>
      <c r="J13" s="804" t="s">
        <v>717</v>
      </c>
      <c r="K13" s="801">
        <v>1</v>
      </c>
      <c r="L13" s="805">
        <v>0.65</v>
      </c>
      <c r="M13" s="853">
        <v>1</v>
      </c>
      <c r="N13" s="860">
        <f>((M13/K13)*L13)/4</f>
        <v>0.16250000000000001</v>
      </c>
      <c r="O13" s="3029"/>
      <c r="P13" s="803">
        <v>1147205045</v>
      </c>
      <c r="Q13" s="803">
        <v>1372463006</v>
      </c>
      <c r="R13" s="853">
        <v>298192500</v>
      </c>
      <c r="S13" s="853">
        <v>173882500</v>
      </c>
      <c r="T13" s="887">
        <f t="shared" si="1"/>
        <v>0.21726815126993668</v>
      </c>
      <c r="U13" s="887">
        <f t="shared" si="1"/>
        <v>0.58312164122169408</v>
      </c>
      <c r="V13" s="856">
        <v>45315</v>
      </c>
      <c r="W13" s="856">
        <v>45657</v>
      </c>
      <c r="X13" s="857" t="s">
        <v>718</v>
      </c>
      <c r="Y13" s="3039"/>
    </row>
    <row r="14" spans="1:25">
      <c r="A14" s="3026">
        <v>4133</v>
      </c>
      <c r="B14" s="806"/>
      <c r="C14" s="3027" t="s">
        <v>123</v>
      </c>
      <c r="D14" s="3028" t="s">
        <v>719</v>
      </c>
      <c r="E14" s="474" t="s">
        <v>720</v>
      </c>
      <c r="F14" s="570"/>
      <c r="G14" s="599"/>
      <c r="H14" s="570"/>
      <c r="I14" s="599"/>
      <c r="J14" s="599"/>
      <c r="K14" s="540">
        <v>582</v>
      </c>
      <c r="L14" s="805">
        <f>SUM(L15:L18)</f>
        <v>1</v>
      </c>
      <c r="M14" s="853"/>
      <c r="N14" s="854">
        <f>SUM(N15:N18)</f>
        <v>0</v>
      </c>
      <c r="O14" s="3029">
        <f>IF(Q14&gt;0,N14,"na")</f>
        <v>0</v>
      </c>
      <c r="P14" s="853">
        <f>SUM(P15:P18)</f>
        <v>2847465744</v>
      </c>
      <c r="Q14" s="853">
        <f t="shared" ref="Q14:S14" si="2">SUM(Q15:Q18)</f>
        <v>2265596014</v>
      </c>
      <c r="R14" s="853">
        <f t="shared" si="2"/>
        <v>453128000</v>
      </c>
      <c r="S14" s="853">
        <f t="shared" si="2"/>
        <v>10462000</v>
      </c>
      <c r="T14" s="886">
        <f t="shared" si="1"/>
        <v>0.20000388295174676</v>
      </c>
      <c r="U14" s="886">
        <f t="shared" si="1"/>
        <v>2.3088398863014423E-2</v>
      </c>
      <c r="V14" s="856"/>
      <c r="W14" s="857"/>
      <c r="X14" s="857"/>
      <c r="Y14" s="3037" t="s">
        <v>714</v>
      </c>
    </row>
    <row r="15" spans="1:25" ht="52.8">
      <c r="A15" s="3026"/>
      <c r="B15" s="806"/>
      <c r="C15" s="3027"/>
      <c r="D15" s="3028"/>
      <c r="E15" s="804" t="s">
        <v>721</v>
      </c>
      <c r="F15" s="570"/>
      <c r="G15" s="3030" t="s">
        <v>722</v>
      </c>
      <c r="H15" s="2936"/>
      <c r="I15" s="804" t="s">
        <v>723</v>
      </c>
      <c r="J15" s="804" t="s">
        <v>724</v>
      </c>
      <c r="K15" s="540">
        <v>136</v>
      </c>
      <c r="L15" s="805">
        <v>0.26</v>
      </c>
      <c r="M15" s="853">
        <v>0</v>
      </c>
      <c r="N15" s="860">
        <f>(M15/K15)*L15</f>
        <v>0</v>
      </c>
      <c r="O15" s="3029"/>
      <c r="P15" s="853">
        <v>516331659</v>
      </c>
      <c r="Q15" s="853">
        <v>347695812</v>
      </c>
      <c r="R15" s="853">
        <v>81866500</v>
      </c>
      <c r="S15" s="853">
        <v>0</v>
      </c>
      <c r="T15" s="887">
        <f t="shared" si="1"/>
        <v>0.23545437469922703</v>
      </c>
      <c r="U15" s="887">
        <f t="shared" si="1"/>
        <v>0</v>
      </c>
      <c r="V15" s="856">
        <v>45361</v>
      </c>
      <c r="W15" s="856">
        <v>45657</v>
      </c>
      <c r="X15" s="857" t="s">
        <v>725</v>
      </c>
      <c r="Y15" s="3038"/>
    </row>
    <row r="16" spans="1:25" ht="39.6">
      <c r="A16" s="3026"/>
      <c r="B16" s="806"/>
      <c r="C16" s="3027"/>
      <c r="D16" s="3028"/>
      <c r="E16" s="804" t="s">
        <v>726</v>
      </c>
      <c r="F16" s="570"/>
      <c r="G16" s="3030"/>
      <c r="H16" s="2936"/>
      <c r="I16" s="804" t="s">
        <v>727</v>
      </c>
      <c r="J16" s="804" t="s">
        <v>728</v>
      </c>
      <c r="K16" s="540">
        <v>10</v>
      </c>
      <c r="L16" s="805">
        <v>0.12</v>
      </c>
      <c r="M16" s="853">
        <v>0</v>
      </c>
      <c r="N16" s="860">
        <f t="shared" ref="N16:N21" si="3">(M16/K16)*L16</f>
        <v>0</v>
      </c>
      <c r="O16" s="3029"/>
      <c r="P16" s="853">
        <v>415498678</v>
      </c>
      <c r="Q16" s="853">
        <v>415498678</v>
      </c>
      <c r="R16" s="853">
        <v>58570500</v>
      </c>
      <c r="S16" s="853">
        <v>0</v>
      </c>
      <c r="T16" s="887">
        <f t="shared" si="1"/>
        <v>0.14096434742447003</v>
      </c>
      <c r="U16" s="887">
        <f t="shared" si="1"/>
        <v>0</v>
      </c>
      <c r="V16" s="856">
        <v>45351</v>
      </c>
      <c r="W16" s="856">
        <v>45657</v>
      </c>
      <c r="X16" s="857" t="s">
        <v>729</v>
      </c>
      <c r="Y16" s="3038"/>
    </row>
    <row r="17" spans="1:25" ht="52.8">
      <c r="A17" s="3026"/>
      <c r="B17" s="806"/>
      <c r="C17" s="3027"/>
      <c r="D17" s="3028"/>
      <c r="E17" s="804" t="s">
        <v>730</v>
      </c>
      <c r="F17" s="570"/>
      <c r="G17" s="3030"/>
      <c r="H17" s="2936"/>
      <c r="I17" s="804" t="s">
        <v>731</v>
      </c>
      <c r="J17" s="804" t="s">
        <v>732</v>
      </c>
      <c r="K17" s="540">
        <v>580</v>
      </c>
      <c r="L17" s="805">
        <v>0.32</v>
      </c>
      <c r="M17" s="853">
        <v>0</v>
      </c>
      <c r="N17" s="860">
        <f t="shared" si="3"/>
        <v>0</v>
      </c>
      <c r="O17" s="3029"/>
      <c r="P17" s="853">
        <v>961995902</v>
      </c>
      <c r="Q17" s="853">
        <v>774019980</v>
      </c>
      <c r="R17" s="853">
        <v>133706000</v>
      </c>
      <c r="S17" s="853">
        <v>10462000</v>
      </c>
      <c r="T17" s="887">
        <f t="shared" si="1"/>
        <v>0.17274231086386169</v>
      </c>
      <c r="U17" s="887">
        <f t="shared" si="1"/>
        <v>7.8246301587064152E-2</v>
      </c>
      <c r="V17" s="856">
        <v>45361</v>
      </c>
      <c r="W17" s="856">
        <v>45657</v>
      </c>
      <c r="X17" s="857" t="s">
        <v>733</v>
      </c>
      <c r="Y17" s="3038"/>
    </row>
    <row r="18" spans="1:25" ht="66">
      <c r="A18" s="3026"/>
      <c r="B18" s="806"/>
      <c r="C18" s="3027"/>
      <c r="D18" s="3028"/>
      <c r="E18" s="804" t="s">
        <v>734</v>
      </c>
      <c r="F18" s="570"/>
      <c r="G18" s="3030"/>
      <c r="H18" s="2936"/>
      <c r="I18" s="804" t="s">
        <v>735</v>
      </c>
      <c r="J18" s="804" t="s">
        <v>124</v>
      </c>
      <c r="K18" s="540">
        <v>175</v>
      </c>
      <c r="L18" s="805">
        <v>0.3</v>
      </c>
      <c r="M18" s="853">
        <v>0</v>
      </c>
      <c r="N18" s="860">
        <f t="shared" si="3"/>
        <v>0</v>
      </c>
      <c r="O18" s="3029"/>
      <c r="P18" s="853">
        <v>953639505</v>
      </c>
      <c r="Q18" s="853">
        <v>728381544</v>
      </c>
      <c r="R18" s="853">
        <v>178985000</v>
      </c>
      <c r="S18" s="853">
        <v>0</v>
      </c>
      <c r="T18" s="887">
        <f t="shared" si="1"/>
        <v>0.24572972980215985</v>
      </c>
      <c r="U18" s="887">
        <f t="shared" si="1"/>
        <v>0</v>
      </c>
      <c r="V18" s="856">
        <v>45363</v>
      </c>
      <c r="W18" s="856">
        <v>45657</v>
      </c>
      <c r="X18" s="857" t="s">
        <v>733</v>
      </c>
      <c r="Y18" s="3039"/>
    </row>
    <row r="19" spans="1:25">
      <c r="A19" s="3026">
        <v>4133</v>
      </c>
      <c r="B19" s="806"/>
      <c r="C19" s="3027" t="s">
        <v>123</v>
      </c>
      <c r="D19" s="3028" t="s">
        <v>736</v>
      </c>
      <c r="E19" s="474" t="s">
        <v>737</v>
      </c>
      <c r="F19" s="570"/>
      <c r="G19" s="599"/>
      <c r="H19" s="570"/>
      <c r="I19" s="599"/>
      <c r="J19" s="599"/>
      <c r="K19" s="540">
        <v>233</v>
      </c>
      <c r="L19" s="805">
        <f>SUM(L20:L22)</f>
        <v>1</v>
      </c>
      <c r="M19" s="853"/>
      <c r="N19" s="855">
        <f>SUM(N20:N22)</f>
        <v>0.12551150895140667</v>
      </c>
      <c r="O19" s="3029">
        <f>IF(Q19&gt;0,N19,"na")</f>
        <v>0.12551150895140667</v>
      </c>
      <c r="P19" s="853">
        <f>SUM(P20:P22)</f>
        <v>500000000</v>
      </c>
      <c r="Q19" s="853">
        <f>SUM(Q20:Q22)</f>
        <v>856611769</v>
      </c>
      <c r="R19" s="853">
        <f>SUM(R20:R22)</f>
        <v>238059000</v>
      </c>
      <c r="S19" s="853">
        <f>SUM(S20:S22)</f>
        <v>134307000</v>
      </c>
      <c r="T19" s="886">
        <f t="shared" si="1"/>
        <v>0.27790769239361224</v>
      </c>
      <c r="U19" s="886">
        <f t="shared" si="1"/>
        <v>0.56417526747570979</v>
      </c>
      <c r="V19" s="856"/>
      <c r="W19" s="857"/>
      <c r="X19" s="857"/>
      <c r="Y19" s="3037" t="s">
        <v>714</v>
      </c>
    </row>
    <row r="20" spans="1:25" ht="66">
      <c r="A20" s="3026"/>
      <c r="B20" s="806"/>
      <c r="C20" s="3027"/>
      <c r="D20" s="3028"/>
      <c r="E20" s="804" t="s">
        <v>738</v>
      </c>
      <c r="F20" s="570"/>
      <c r="G20" s="599"/>
      <c r="H20" s="570"/>
      <c r="I20" s="474" t="s">
        <v>739</v>
      </c>
      <c r="J20" s="474" t="s">
        <v>556</v>
      </c>
      <c r="K20" s="540">
        <v>6</v>
      </c>
      <c r="L20" s="805">
        <v>0.33</v>
      </c>
      <c r="M20" s="853">
        <v>0</v>
      </c>
      <c r="N20" s="860">
        <f t="shared" si="3"/>
        <v>0</v>
      </c>
      <c r="O20" s="3029"/>
      <c r="P20" s="853">
        <v>110196000</v>
      </c>
      <c r="Q20" s="853">
        <v>110196000</v>
      </c>
      <c r="R20" s="853">
        <v>28916000</v>
      </c>
      <c r="S20" s="853">
        <v>21687000</v>
      </c>
      <c r="T20" s="887">
        <f t="shared" si="1"/>
        <v>0.2624051689716505</v>
      </c>
      <c r="U20" s="887">
        <f t="shared" si="1"/>
        <v>0.75</v>
      </c>
      <c r="V20" s="856">
        <v>45320</v>
      </c>
      <c r="W20" s="856">
        <v>45657</v>
      </c>
      <c r="X20" s="857" t="s">
        <v>740</v>
      </c>
      <c r="Y20" s="3038"/>
    </row>
    <row r="21" spans="1:25" ht="79.2">
      <c r="A21" s="3026"/>
      <c r="B21" s="806"/>
      <c r="C21" s="3027"/>
      <c r="D21" s="3028"/>
      <c r="E21" s="804" t="s">
        <v>741</v>
      </c>
      <c r="F21" s="570"/>
      <c r="G21" s="599"/>
      <c r="H21" s="570"/>
      <c r="I21" s="474" t="s">
        <v>742</v>
      </c>
      <c r="J21" s="474" t="s">
        <v>743</v>
      </c>
      <c r="K21" s="540">
        <v>391</v>
      </c>
      <c r="L21" s="805">
        <v>0.33</v>
      </c>
      <c r="M21" s="853">
        <v>48</v>
      </c>
      <c r="N21" s="860">
        <f t="shared" si="3"/>
        <v>4.051150895140665E-2</v>
      </c>
      <c r="O21" s="3029"/>
      <c r="P21" s="853">
        <v>300000000</v>
      </c>
      <c r="Q21" s="853">
        <v>656611769</v>
      </c>
      <c r="R21" s="853">
        <v>166938000</v>
      </c>
      <c r="S21" s="853">
        <v>99306000</v>
      </c>
      <c r="T21" s="887">
        <f t="shared" si="1"/>
        <v>0.25424155929194137</v>
      </c>
      <c r="U21" s="887">
        <f t="shared" si="1"/>
        <v>0.59486755561945148</v>
      </c>
      <c r="V21" s="856">
        <v>45315</v>
      </c>
      <c r="W21" s="856">
        <v>45657</v>
      </c>
      <c r="X21" s="857" t="s">
        <v>744</v>
      </c>
      <c r="Y21" s="3038"/>
    </row>
    <row r="22" spans="1:25" ht="92.4">
      <c r="A22" s="3026"/>
      <c r="B22" s="806"/>
      <c r="C22" s="3027"/>
      <c r="D22" s="3028"/>
      <c r="E22" s="804" t="s">
        <v>745</v>
      </c>
      <c r="F22" s="570"/>
      <c r="G22" s="474" t="s">
        <v>710</v>
      </c>
      <c r="H22" s="570"/>
      <c r="I22" s="474" t="s">
        <v>746</v>
      </c>
      <c r="J22" s="474" t="s">
        <v>747</v>
      </c>
      <c r="K22" s="540">
        <v>3</v>
      </c>
      <c r="L22" s="805">
        <v>0.34</v>
      </c>
      <c r="M22" s="853">
        <v>3</v>
      </c>
      <c r="N22" s="860">
        <f>((M22/K22)*L22)/4</f>
        <v>8.5000000000000006E-2</v>
      </c>
      <c r="O22" s="3029"/>
      <c r="P22" s="853">
        <v>89804000</v>
      </c>
      <c r="Q22" s="853">
        <v>89804000</v>
      </c>
      <c r="R22" s="853">
        <v>42205000</v>
      </c>
      <c r="S22" s="853">
        <v>13314000</v>
      </c>
      <c r="T22" s="887">
        <f t="shared" si="1"/>
        <v>0.46996793015901295</v>
      </c>
      <c r="U22" s="887">
        <f t="shared" si="1"/>
        <v>0.31546025352446394</v>
      </c>
      <c r="V22" s="856">
        <v>45319</v>
      </c>
      <c r="W22" s="856">
        <v>45657</v>
      </c>
      <c r="X22" s="857" t="s">
        <v>748</v>
      </c>
      <c r="Y22" s="3039"/>
    </row>
    <row r="23" spans="1:25" ht="15.6">
      <c r="A23" s="837"/>
      <c r="B23" s="237">
        <v>5105</v>
      </c>
      <c r="C23" s="237" t="s">
        <v>115</v>
      </c>
      <c r="D23" s="238" t="s">
        <v>749</v>
      </c>
      <c r="E23" s="838"/>
      <c r="F23" s="838"/>
      <c r="G23" s="838"/>
      <c r="H23" s="838"/>
      <c r="I23" s="839"/>
      <c r="J23" s="839"/>
      <c r="K23" s="837"/>
      <c r="L23" s="837"/>
      <c r="M23" s="840"/>
      <c r="N23" s="841"/>
      <c r="O23" s="862"/>
      <c r="P23" s="840"/>
      <c r="Q23" s="840"/>
      <c r="R23" s="840"/>
      <c r="S23" s="840"/>
      <c r="T23" s="888"/>
      <c r="U23" s="888"/>
      <c r="V23" s="843"/>
      <c r="W23" s="839"/>
      <c r="X23" s="839"/>
      <c r="Y23" s="837"/>
    </row>
    <row r="24" spans="1:25">
      <c r="A24" s="844"/>
      <c r="B24" s="797">
        <v>5105002</v>
      </c>
      <c r="C24" s="797" t="s">
        <v>116</v>
      </c>
      <c r="D24" s="798" t="s">
        <v>750</v>
      </c>
      <c r="E24" s="845"/>
      <c r="F24" s="845"/>
      <c r="G24" s="845"/>
      <c r="H24" s="845"/>
      <c r="I24" s="846"/>
      <c r="J24" s="846"/>
      <c r="K24" s="844"/>
      <c r="L24" s="844"/>
      <c r="M24" s="847"/>
      <c r="N24" s="848"/>
      <c r="O24" s="863"/>
      <c r="P24" s="847"/>
      <c r="Q24" s="847"/>
      <c r="R24" s="847"/>
      <c r="S24" s="847"/>
      <c r="T24" s="889"/>
      <c r="U24" s="889"/>
      <c r="V24" s="850"/>
      <c r="W24" s="846"/>
      <c r="X24" s="846"/>
      <c r="Y24" s="844"/>
    </row>
    <row r="25" spans="1:25" ht="55.2">
      <c r="A25" s="844"/>
      <c r="B25" s="851">
        <v>51050020008</v>
      </c>
      <c r="C25" s="851" t="s">
        <v>117</v>
      </c>
      <c r="D25" s="846" t="s">
        <v>751</v>
      </c>
      <c r="E25" s="845"/>
      <c r="F25" s="845"/>
      <c r="G25" s="845"/>
      <c r="H25" s="844"/>
      <c r="I25" s="846"/>
      <c r="J25" s="846"/>
      <c r="K25" s="844"/>
      <c r="L25" s="844"/>
      <c r="M25" s="847"/>
      <c r="N25" s="864"/>
      <c r="O25" s="864"/>
      <c r="P25" s="847"/>
      <c r="Q25" s="847"/>
      <c r="R25" s="847"/>
      <c r="S25" s="847"/>
      <c r="T25" s="889"/>
      <c r="U25" s="889"/>
      <c r="V25" s="850"/>
      <c r="W25" s="846"/>
      <c r="X25" s="846"/>
      <c r="Y25" s="844"/>
    </row>
    <row r="26" spans="1:25" ht="13.8" customHeight="1">
      <c r="A26" s="3026">
        <v>4133</v>
      </c>
      <c r="B26" s="806"/>
      <c r="C26" s="3027" t="s">
        <v>123</v>
      </c>
      <c r="D26" s="3028" t="s">
        <v>752</v>
      </c>
      <c r="E26" s="474" t="s">
        <v>753</v>
      </c>
      <c r="F26" s="555"/>
      <c r="G26" s="549"/>
      <c r="H26" s="555"/>
      <c r="I26" s="549"/>
      <c r="J26" s="555"/>
      <c r="K26" s="807">
        <f>K27</f>
        <v>150</v>
      </c>
      <c r="L26" s="805">
        <f>SUM(L27:L29)</f>
        <v>1</v>
      </c>
      <c r="M26" s="853"/>
      <c r="N26" s="854">
        <f>SUM(N27:N29)</f>
        <v>0</v>
      </c>
      <c r="O26" s="3029">
        <f>IF(Q26&gt;0,N26,"na")</f>
        <v>0</v>
      </c>
      <c r="P26" s="853">
        <f>SUM(P27:P29)</f>
        <v>600000000</v>
      </c>
      <c r="Q26" s="853">
        <f t="shared" ref="Q26:S26" si="4">SUM(Q27:Q29)</f>
        <v>600000000</v>
      </c>
      <c r="R26" s="853">
        <f t="shared" si="4"/>
        <v>82452000</v>
      </c>
      <c r="S26" s="853">
        <f t="shared" si="4"/>
        <v>24920000</v>
      </c>
      <c r="T26" s="886">
        <f>+IF(Q26=0,0,R26/Q26)</f>
        <v>0.13741999999999999</v>
      </c>
      <c r="U26" s="886">
        <f>+IF(R26=0,0,S26/R26)</f>
        <v>0.30223645272400912</v>
      </c>
      <c r="V26" s="856"/>
      <c r="W26" s="857"/>
      <c r="X26" s="857"/>
      <c r="Y26" s="3037" t="s">
        <v>759</v>
      </c>
    </row>
    <row r="27" spans="1:25" ht="118.8">
      <c r="A27" s="3026"/>
      <c r="B27" s="806"/>
      <c r="C27" s="3027"/>
      <c r="D27" s="3028"/>
      <c r="E27" s="804" t="s">
        <v>754</v>
      </c>
      <c r="F27" s="555"/>
      <c r="G27" s="212" t="s">
        <v>755</v>
      </c>
      <c r="H27" s="556"/>
      <c r="I27" s="804" t="s">
        <v>756</v>
      </c>
      <c r="J27" s="804" t="s">
        <v>757</v>
      </c>
      <c r="K27" s="807">
        <v>150</v>
      </c>
      <c r="L27" s="805">
        <v>0.9</v>
      </c>
      <c r="M27" s="853">
        <v>0</v>
      </c>
      <c r="N27" s="860">
        <f t="shared" ref="N27:N31" si="5">(M27/K27)*L27</f>
        <v>0</v>
      </c>
      <c r="O27" s="3029"/>
      <c r="P27" s="557">
        <v>502543200</v>
      </c>
      <c r="Q27" s="557">
        <v>502543200</v>
      </c>
      <c r="R27" s="853">
        <v>82452000</v>
      </c>
      <c r="S27" s="853">
        <v>24920000</v>
      </c>
      <c r="T27" s="887">
        <f>+IF(Q27=0,0,R27/Q27)</f>
        <v>0.16406947701212551</v>
      </c>
      <c r="U27" s="887">
        <f>+IF(R27=0,0,S27/R27)</f>
        <v>0.30223645272400912</v>
      </c>
      <c r="V27" s="856">
        <v>45317</v>
      </c>
      <c r="W27" s="856">
        <v>45657</v>
      </c>
      <c r="X27" s="857" t="s">
        <v>758</v>
      </c>
      <c r="Y27" s="3038"/>
    </row>
    <row r="28" spans="1:25" ht="92.4">
      <c r="A28" s="3026"/>
      <c r="B28" s="806"/>
      <c r="C28" s="3027"/>
      <c r="D28" s="3028"/>
      <c r="E28" s="804" t="s">
        <v>767</v>
      </c>
      <c r="F28" s="555"/>
      <c r="G28" s="212"/>
      <c r="H28" s="555"/>
      <c r="I28" s="804" t="s">
        <v>768</v>
      </c>
      <c r="J28" s="804" t="s">
        <v>769</v>
      </c>
      <c r="K28" s="807">
        <v>1</v>
      </c>
      <c r="L28" s="805">
        <v>0.03</v>
      </c>
      <c r="M28" s="853">
        <v>0</v>
      </c>
      <c r="N28" s="860">
        <f t="shared" si="5"/>
        <v>0</v>
      </c>
      <c r="O28" s="3029"/>
      <c r="P28" s="557">
        <v>25620000</v>
      </c>
      <c r="Q28" s="557">
        <v>25620000</v>
      </c>
      <c r="R28" s="853">
        <v>0</v>
      </c>
      <c r="S28" s="853">
        <v>0</v>
      </c>
      <c r="T28" s="887">
        <f t="shared" ref="T28:U34" si="6">+IF(Q28=0,0,R28/Q28)</f>
        <v>0</v>
      </c>
      <c r="U28" s="887">
        <f t="shared" si="6"/>
        <v>0</v>
      </c>
      <c r="V28" s="856"/>
      <c r="W28" s="857"/>
      <c r="X28" s="857" t="s">
        <v>770</v>
      </c>
      <c r="Y28" s="3038"/>
    </row>
    <row r="29" spans="1:25" ht="66">
      <c r="A29" s="3026"/>
      <c r="B29" s="806"/>
      <c r="C29" s="3027"/>
      <c r="D29" s="3028"/>
      <c r="E29" s="804" t="s">
        <v>771</v>
      </c>
      <c r="F29" s="555"/>
      <c r="G29" s="549"/>
      <c r="H29" s="555"/>
      <c r="I29" s="804" t="s">
        <v>772</v>
      </c>
      <c r="J29" s="804" t="s">
        <v>765</v>
      </c>
      <c r="K29" s="807">
        <v>30</v>
      </c>
      <c r="L29" s="805">
        <v>7.0000000000000007E-2</v>
      </c>
      <c r="M29" s="853">
        <v>0</v>
      </c>
      <c r="N29" s="860">
        <f t="shared" si="5"/>
        <v>0</v>
      </c>
      <c r="O29" s="3029"/>
      <c r="P29" s="557">
        <v>71836800</v>
      </c>
      <c r="Q29" s="557">
        <v>71836800</v>
      </c>
      <c r="R29" s="853">
        <v>0</v>
      </c>
      <c r="S29" s="853">
        <v>0</v>
      </c>
      <c r="T29" s="887">
        <f t="shared" si="6"/>
        <v>0</v>
      </c>
      <c r="U29" s="887">
        <f t="shared" si="6"/>
        <v>0</v>
      </c>
      <c r="V29" s="856"/>
      <c r="W29" s="857"/>
      <c r="X29" s="857" t="s">
        <v>773</v>
      </c>
      <c r="Y29" s="3039"/>
    </row>
    <row r="30" spans="1:25" ht="14.4" customHeight="1">
      <c r="A30" s="3026">
        <v>4133</v>
      </c>
      <c r="B30" s="226"/>
      <c r="C30" s="3027" t="s">
        <v>123</v>
      </c>
      <c r="D30" s="3028" t="s">
        <v>760</v>
      </c>
      <c r="E30" s="474" t="s">
        <v>761</v>
      </c>
      <c r="F30" s="226"/>
      <c r="G30" s="212"/>
      <c r="H30" s="226"/>
      <c r="I30" s="213"/>
      <c r="J30" s="213"/>
      <c r="K30" s="212">
        <f>K31</f>
        <v>7</v>
      </c>
      <c r="L30" s="249">
        <f>SUM(L31:L31)</f>
        <v>1</v>
      </c>
      <c r="M30" s="853"/>
      <c r="N30" s="854">
        <f>SUM(N31:N31)</f>
        <v>0</v>
      </c>
      <c r="O30" s="3029">
        <f>IF(Q30&gt;0,N30,"na")</f>
        <v>0</v>
      </c>
      <c r="P30" s="853">
        <f>SUM(P31)</f>
        <v>100000000</v>
      </c>
      <c r="Q30" s="853">
        <f t="shared" ref="Q30:S30" si="7">SUM(Q31)</f>
        <v>100000000</v>
      </c>
      <c r="R30" s="853">
        <f t="shared" si="7"/>
        <v>11577000</v>
      </c>
      <c r="S30" s="853">
        <f t="shared" si="7"/>
        <v>0</v>
      </c>
      <c r="T30" s="886">
        <f t="shared" si="6"/>
        <v>0.11577</v>
      </c>
      <c r="U30" s="886">
        <f t="shared" si="6"/>
        <v>0</v>
      </c>
      <c r="V30" s="856"/>
      <c r="W30" s="857"/>
      <c r="X30" s="857"/>
      <c r="Y30" s="3037" t="s">
        <v>759</v>
      </c>
    </row>
    <row r="31" spans="1:25" ht="105.6">
      <c r="A31" s="3026"/>
      <c r="B31" s="226"/>
      <c r="C31" s="3027"/>
      <c r="D31" s="3028"/>
      <c r="E31" s="804" t="s">
        <v>762</v>
      </c>
      <c r="F31" s="226"/>
      <c r="G31" s="212" t="s">
        <v>763</v>
      </c>
      <c r="H31" s="226"/>
      <c r="I31" s="213" t="s">
        <v>764</v>
      </c>
      <c r="J31" s="213" t="s">
        <v>765</v>
      </c>
      <c r="K31" s="212">
        <v>7</v>
      </c>
      <c r="L31" s="249">
        <v>1</v>
      </c>
      <c r="M31" s="853">
        <v>0</v>
      </c>
      <c r="N31" s="860">
        <f t="shared" si="5"/>
        <v>0</v>
      </c>
      <c r="O31" s="3029"/>
      <c r="P31" s="250">
        <v>100000000</v>
      </c>
      <c r="Q31" s="250">
        <v>100000000</v>
      </c>
      <c r="R31" s="853">
        <v>11577000</v>
      </c>
      <c r="S31" s="853">
        <v>0</v>
      </c>
      <c r="T31" s="887">
        <f t="shared" si="6"/>
        <v>0.11577</v>
      </c>
      <c r="U31" s="887">
        <f t="shared" si="6"/>
        <v>0</v>
      </c>
      <c r="V31" s="856">
        <v>45362</v>
      </c>
      <c r="W31" s="856">
        <v>45657</v>
      </c>
      <c r="X31" s="857" t="s">
        <v>766</v>
      </c>
      <c r="Y31" s="3039"/>
    </row>
    <row r="32" spans="1:25">
      <c r="A32" s="3026">
        <v>4133</v>
      </c>
      <c r="B32" s="226"/>
      <c r="C32" s="3027" t="s">
        <v>123</v>
      </c>
      <c r="D32" s="3028" t="s">
        <v>774</v>
      </c>
      <c r="E32" s="474" t="s">
        <v>775</v>
      </c>
      <c r="F32" s="226"/>
      <c r="G32" s="212"/>
      <c r="H32" s="226"/>
      <c r="I32" s="213"/>
      <c r="J32" s="213"/>
      <c r="K32" s="212">
        <v>100</v>
      </c>
      <c r="L32" s="249">
        <f>SUM(L33:L34)</f>
        <v>1</v>
      </c>
      <c r="M32" s="853"/>
      <c r="N32" s="854">
        <f>SUM(N33:N34)</f>
        <v>0</v>
      </c>
      <c r="O32" s="3034">
        <f>IF(Q32&gt;0,N32,"na")</f>
        <v>0</v>
      </c>
      <c r="P32" s="853">
        <f>SUM(P33:P34)</f>
        <v>608661480</v>
      </c>
      <c r="Q32" s="853">
        <f t="shared" ref="Q32:S32" si="8">SUM(Q33:Q34)</f>
        <v>608661480</v>
      </c>
      <c r="R32" s="853">
        <f t="shared" si="8"/>
        <v>0</v>
      </c>
      <c r="S32" s="853">
        <f t="shared" si="8"/>
        <v>0</v>
      </c>
      <c r="T32" s="886">
        <f t="shared" si="6"/>
        <v>0</v>
      </c>
      <c r="U32" s="886">
        <f t="shared" si="6"/>
        <v>0</v>
      </c>
      <c r="V32" s="857"/>
      <c r="W32" s="857"/>
      <c r="X32" s="857"/>
      <c r="Y32" s="3037" t="s">
        <v>759</v>
      </c>
    </row>
    <row r="33" spans="1:25" ht="66" customHeight="1">
      <c r="A33" s="3026"/>
      <c r="B33" s="226"/>
      <c r="C33" s="3027"/>
      <c r="D33" s="3028"/>
      <c r="E33" s="804" t="s">
        <v>776</v>
      </c>
      <c r="F33" s="226"/>
      <c r="G33" s="3033" t="s">
        <v>763</v>
      </c>
      <c r="H33" s="226"/>
      <c r="I33" s="213" t="s">
        <v>777</v>
      </c>
      <c r="J33" s="213" t="s">
        <v>765</v>
      </c>
      <c r="K33" s="212">
        <v>100</v>
      </c>
      <c r="L33" s="249">
        <v>0.3</v>
      </c>
      <c r="M33" s="853">
        <v>0</v>
      </c>
      <c r="N33" s="854">
        <f t="shared" ref="N33:N34" si="9">(M33/K33)*L33</f>
        <v>0</v>
      </c>
      <c r="O33" s="3034"/>
      <c r="P33" s="250">
        <v>190478400</v>
      </c>
      <c r="Q33" s="250">
        <v>190478400</v>
      </c>
      <c r="R33" s="853">
        <v>0</v>
      </c>
      <c r="S33" s="853">
        <v>0</v>
      </c>
      <c r="T33" s="886">
        <f t="shared" si="6"/>
        <v>0</v>
      </c>
      <c r="U33" s="886">
        <f t="shared" si="6"/>
        <v>0</v>
      </c>
      <c r="V33" s="857"/>
      <c r="W33" s="857"/>
      <c r="X33" s="857" t="s">
        <v>778</v>
      </c>
      <c r="Y33" s="3038"/>
    </row>
    <row r="34" spans="1:25" ht="79.2">
      <c r="A34" s="3026"/>
      <c r="B34" s="226"/>
      <c r="C34" s="3027"/>
      <c r="D34" s="3028"/>
      <c r="E34" s="804" t="s">
        <v>779</v>
      </c>
      <c r="F34" s="865"/>
      <c r="G34" s="3033"/>
      <c r="H34" s="865"/>
      <c r="I34" s="213" t="s">
        <v>780</v>
      </c>
      <c r="J34" s="213" t="s">
        <v>781</v>
      </c>
      <c r="K34" s="212">
        <v>20</v>
      </c>
      <c r="L34" s="249">
        <v>0.7</v>
      </c>
      <c r="M34" s="853">
        <v>0</v>
      </c>
      <c r="N34" s="854">
        <f t="shared" si="9"/>
        <v>0</v>
      </c>
      <c r="O34" s="3034"/>
      <c r="P34" s="250">
        <v>418183080</v>
      </c>
      <c r="Q34" s="250">
        <v>418183080</v>
      </c>
      <c r="R34" s="853">
        <v>0</v>
      </c>
      <c r="S34" s="853">
        <v>0</v>
      </c>
      <c r="T34" s="886">
        <f t="shared" si="6"/>
        <v>0</v>
      </c>
      <c r="U34" s="886">
        <f t="shared" si="6"/>
        <v>0</v>
      </c>
      <c r="V34" s="857"/>
      <c r="W34" s="857"/>
      <c r="X34" s="857" t="s">
        <v>778</v>
      </c>
      <c r="Y34" s="3039"/>
    </row>
    <row r="35" spans="1:25" ht="15.6">
      <c r="A35" s="837"/>
      <c r="B35" s="237">
        <v>52</v>
      </c>
      <c r="C35" s="237" t="s">
        <v>114</v>
      </c>
      <c r="D35" s="810" t="s">
        <v>162</v>
      </c>
      <c r="E35" s="838"/>
      <c r="F35" s="838"/>
      <c r="G35" s="838"/>
      <c r="H35" s="838"/>
      <c r="I35" s="839"/>
      <c r="J35" s="839"/>
      <c r="K35" s="837"/>
      <c r="L35" s="837"/>
      <c r="M35" s="839"/>
      <c r="N35" s="866"/>
      <c r="O35" s="866"/>
      <c r="P35" s="840"/>
      <c r="Q35" s="840"/>
      <c r="R35" s="840"/>
      <c r="S35" s="840"/>
      <c r="T35" s="890"/>
      <c r="U35" s="890"/>
      <c r="V35" s="843"/>
      <c r="W35" s="839"/>
      <c r="X35" s="839"/>
      <c r="Y35" s="837"/>
    </row>
    <row r="36" spans="1:25" ht="15.6">
      <c r="A36" s="837"/>
      <c r="B36" s="237">
        <v>5203</v>
      </c>
      <c r="C36" s="237" t="s">
        <v>115</v>
      </c>
      <c r="D36" s="238" t="s">
        <v>163</v>
      </c>
      <c r="E36" s="838"/>
      <c r="F36" s="838"/>
      <c r="G36" s="838"/>
      <c r="H36" s="838"/>
      <c r="I36" s="839"/>
      <c r="J36" s="839"/>
      <c r="K36" s="837"/>
      <c r="L36" s="837"/>
      <c r="M36" s="839"/>
      <c r="N36" s="866"/>
      <c r="O36" s="866"/>
      <c r="P36" s="840"/>
      <c r="Q36" s="840"/>
      <c r="R36" s="840"/>
      <c r="S36" s="840"/>
      <c r="T36" s="890"/>
      <c r="U36" s="890"/>
      <c r="V36" s="843"/>
      <c r="W36" s="839"/>
      <c r="X36" s="839"/>
      <c r="Y36" s="837"/>
    </row>
    <row r="37" spans="1:25">
      <c r="A37" s="844"/>
      <c r="B37" s="797">
        <v>5203007</v>
      </c>
      <c r="C37" s="797" t="s">
        <v>116</v>
      </c>
      <c r="D37" s="798" t="s">
        <v>164</v>
      </c>
      <c r="E37" s="845"/>
      <c r="F37" s="845"/>
      <c r="G37" s="845"/>
      <c r="H37" s="845"/>
      <c r="I37" s="846"/>
      <c r="J37" s="846"/>
      <c r="K37" s="844"/>
      <c r="L37" s="844"/>
      <c r="M37" s="846"/>
      <c r="N37" s="867"/>
      <c r="O37" s="867"/>
      <c r="P37" s="847"/>
      <c r="Q37" s="847"/>
      <c r="R37" s="847"/>
      <c r="S37" s="847"/>
      <c r="T37" s="891"/>
      <c r="U37" s="891"/>
      <c r="V37" s="850"/>
      <c r="W37" s="846"/>
      <c r="X37" s="846"/>
      <c r="Y37" s="844"/>
    </row>
    <row r="38" spans="1:25" ht="27.6">
      <c r="A38" s="844"/>
      <c r="B38" s="851">
        <v>52030070002</v>
      </c>
      <c r="C38" s="851" t="s">
        <v>117</v>
      </c>
      <c r="D38" s="846" t="s">
        <v>782</v>
      </c>
      <c r="E38" s="845"/>
      <c r="F38" s="845"/>
      <c r="G38" s="845"/>
      <c r="H38" s="844"/>
      <c r="I38" s="846"/>
      <c r="J38" s="846"/>
      <c r="K38" s="844"/>
      <c r="L38" s="844"/>
      <c r="M38" s="846"/>
      <c r="N38" s="867"/>
      <c r="O38" s="867"/>
      <c r="P38" s="847"/>
      <c r="Q38" s="847"/>
      <c r="R38" s="847"/>
      <c r="S38" s="847"/>
      <c r="T38" s="891"/>
      <c r="U38" s="891"/>
      <c r="V38" s="850"/>
      <c r="W38" s="846"/>
      <c r="X38" s="846"/>
      <c r="Y38" s="844"/>
    </row>
    <row r="39" spans="1:25">
      <c r="A39" s="2926">
        <v>4133</v>
      </c>
      <c r="B39" s="226"/>
      <c r="C39" s="2926" t="s">
        <v>123</v>
      </c>
      <c r="D39" s="3033" t="s">
        <v>783</v>
      </c>
      <c r="E39" s="212" t="s">
        <v>784</v>
      </c>
      <c r="F39" s="555"/>
      <c r="G39" s="549"/>
      <c r="H39" s="555"/>
      <c r="I39" s="549"/>
      <c r="J39" s="555"/>
      <c r="K39" s="807">
        <f>K40</f>
        <v>4847</v>
      </c>
      <c r="L39" s="805">
        <f>SUM(L40:L43)</f>
        <v>1</v>
      </c>
      <c r="M39" s="857"/>
      <c r="N39" s="855">
        <f>SUM(N40:N43)</f>
        <v>0.125</v>
      </c>
      <c r="O39" s="3034">
        <f>IF(Q39&gt;0,N39,"na")</f>
        <v>0.125</v>
      </c>
      <c r="P39" s="853">
        <f>SUM(P40:P43)</f>
        <v>861223975</v>
      </c>
      <c r="Q39" s="853">
        <f t="shared" ref="Q39:S39" si="10">SUM(Q40:Q43)</f>
        <v>861223975</v>
      </c>
      <c r="R39" s="853">
        <f t="shared" si="10"/>
        <v>171081500</v>
      </c>
      <c r="S39" s="853">
        <f t="shared" si="10"/>
        <v>35309000</v>
      </c>
      <c r="T39" s="886">
        <f>+IF(Q39=0,0,R39/Q39)</f>
        <v>0.19864925381344614</v>
      </c>
      <c r="U39" s="886">
        <f>+IF(R39=0,0,S39/R39)</f>
        <v>0.20638701437618912</v>
      </c>
      <c r="V39" s="856"/>
      <c r="W39" s="857"/>
      <c r="X39" s="857"/>
      <c r="Y39" s="3037" t="s">
        <v>759</v>
      </c>
    </row>
    <row r="40" spans="1:25" ht="52.8" customHeight="1">
      <c r="A40" s="2926"/>
      <c r="B40" s="226"/>
      <c r="C40" s="2926"/>
      <c r="D40" s="3033"/>
      <c r="E40" s="213" t="s">
        <v>785</v>
      </c>
      <c r="F40" s="555"/>
      <c r="G40" s="3033" t="s">
        <v>786</v>
      </c>
      <c r="H40" s="555"/>
      <c r="I40" s="213" t="s">
        <v>787</v>
      </c>
      <c r="J40" s="213" t="s">
        <v>788</v>
      </c>
      <c r="K40" s="807">
        <v>4847</v>
      </c>
      <c r="L40" s="805">
        <v>0.41</v>
      </c>
      <c r="M40" s="857">
        <v>0</v>
      </c>
      <c r="N40" s="854">
        <f t="shared" ref="N40:N57" si="11">(M40/K40)*L40</f>
        <v>0</v>
      </c>
      <c r="O40" s="3034"/>
      <c r="P40" s="557">
        <v>350778599</v>
      </c>
      <c r="Q40" s="557">
        <v>350778599</v>
      </c>
      <c r="R40" s="853">
        <v>0</v>
      </c>
      <c r="S40" s="853">
        <v>0</v>
      </c>
      <c r="T40" s="886">
        <f t="shared" ref="T40:U43" si="12">+IF(Q40=0,0,R40/Q40)</f>
        <v>0</v>
      </c>
      <c r="U40" s="886">
        <f t="shared" si="12"/>
        <v>0</v>
      </c>
      <c r="V40" s="857"/>
      <c r="W40" s="857"/>
      <c r="X40" s="857" t="s">
        <v>789</v>
      </c>
      <c r="Y40" s="3038"/>
    </row>
    <row r="41" spans="1:25" ht="52.8">
      <c r="A41" s="2926"/>
      <c r="B41" s="226"/>
      <c r="C41" s="2926"/>
      <c r="D41" s="3033"/>
      <c r="E41" s="213" t="s">
        <v>790</v>
      </c>
      <c r="F41" s="555"/>
      <c r="G41" s="3033"/>
      <c r="H41" s="555"/>
      <c r="I41" s="213" t="s">
        <v>791</v>
      </c>
      <c r="J41" s="213" t="s">
        <v>792</v>
      </c>
      <c r="K41" s="807">
        <v>1070</v>
      </c>
      <c r="L41" s="805">
        <v>0.09</v>
      </c>
      <c r="M41" s="857">
        <v>0</v>
      </c>
      <c r="N41" s="854">
        <f t="shared" si="11"/>
        <v>0</v>
      </c>
      <c r="O41" s="3034"/>
      <c r="P41" s="557">
        <v>78147586</v>
      </c>
      <c r="Q41" s="557">
        <v>78147586</v>
      </c>
      <c r="R41" s="853">
        <v>0</v>
      </c>
      <c r="S41" s="853">
        <v>0</v>
      </c>
      <c r="T41" s="886">
        <f t="shared" si="12"/>
        <v>0</v>
      </c>
      <c r="U41" s="886">
        <f t="shared" si="12"/>
        <v>0</v>
      </c>
      <c r="V41" s="857"/>
      <c r="W41" s="857"/>
      <c r="X41" s="857" t="s">
        <v>789</v>
      </c>
      <c r="Y41" s="3038"/>
    </row>
    <row r="42" spans="1:25" ht="118.8">
      <c r="A42" s="2926"/>
      <c r="B42" s="226"/>
      <c r="C42" s="2926"/>
      <c r="D42" s="3033"/>
      <c r="E42" s="213" t="s">
        <v>793</v>
      </c>
      <c r="F42" s="555"/>
      <c r="G42" s="549"/>
      <c r="H42" s="555"/>
      <c r="I42" s="213" t="s">
        <v>794</v>
      </c>
      <c r="J42" s="213" t="s">
        <v>207</v>
      </c>
      <c r="K42" s="807">
        <v>4</v>
      </c>
      <c r="L42" s="805">
        <v>0.25</v>
      </c>
      <c r="M42" s="857">
        <v>1</v>
      </c>
      <c r="N42" s="854">
        <f t="shared" si="11"/>
        <v>6.25E-2</v>
      </c>
      <c r="O42" s="3034"/>
      <c r="P42" s="557">
        <v>217297790</v>
      </c>
      <c r="Q42" s="557">
        <v>217297790</v>
      </c>
      <c r="R42" s="853">
        <v>111325500</v>
      </c>
      <c r="S42" s="853">
        <v>30151000</v>
      </c>
      <c r="T42" s="886">
        <f t="shared" si="12"/>
        <v>0.51231768164784375</v>
      </c>
      <c r="U42" s="886">
        <f t="shared" si="12"/>
        <v>0.27083642112543849</v>
      </c>
      <c r="V42" s="856">
        <v>45314</v>
      </c>
      <c r="W42" s="856">
        <v>45657</v>
      </c>
      <c r="X42" s="857" t="s">
        <v>795</v>
      </c>
      <c r="Y42" s="3038"/>
    </row>
    <row r="43" spans="1:25" ht="92.4">
      <c r="A43" s="2926"/>
      <c r="B43" s="226"/>
      <c r="C43" s="2926"/>
      <c r="D43" s="3033"/>
      <c r="E43" s="213" t="s">
        <v>796</v>
      </c>
      <c r="F43" s="555"/>
      <c r="G43" s="549"/>
      <c r="H43" s="555"/>
      <c r="I43" s="213" t="s">
        <v>797</v>
      </c>
      <c r="J43" s="213" t="s">
        <v>798</v>
      </c>
      <c r="K43" s="807">
        <v>1</v>
      </c>
      <c r="L43" s="805">
        <v>0.25</v>
      </c>
      <c r="M43" s="857">
        <v>1</v>
      </c>
      <c r="N43" s="854">
        <f>((M43/K43)*L43)/4</f>
        <v>6.25E-2</v>
      </c>
      <c r="O43" s="3034"/>
      <c r="P43" s="557">
        <v>215000000</v>
      </c>
      <c r="Q43" s="557">
        <v>215000000</v>
      </c>
      <c r="R43" s="853">
        <v>59756000</v>
      </c>
      <c r="S43" s="853">
        <v>5158000</v>
      </c>
      <c r="T43" s="886">
        <f t="shared" si="12"/>
        <v>0.27793488372093023</v>
      </c>
      <c r="U43" s="886">
        <f t="shared" si="12"/>
        <v>8.6317691947252154E-2</v>
      </c>
      <c r="V43" s="856">
        <v>45318</v>
      </c>
      <c r="W43" s="856">
        <v>45657</v>
      </c>
      <c r="X43" s="857" t="s">
        <v>799</v>
      </c>
      <c r="Y43" s="3039"/>
    </row>
    <row r="44" spans="1:25" ht="14.4" customHeight="1">
      <c r="A44" s="2926">
        <v>4133</v>
      </c>
      <c r="B44" s="226"/>
      <c r="C44" s="2926" t="s">
        <v>123</v>
      </c>
      <c r="D44" s="3033" t="s">
        <v>800</v>
      </c>
      <c r="E44" s="212" t="s">
        <v>801</v>
      </c>
      <c r="F44" s="226"/>
      <c r="G44" s="212"/>
      <c r="H44" s="226"/>
      <c r="I44" s="213"/>
      <c r="J44" s="213"/>
      <c r="K44" s="212">
        <f>K45</f>
        <v>630</v>
      </c>
      <c r="L44" s="249">
        <f>SUM(L45:L45)</f>
        <v>1</v>
      </c>
      <c r="M44" s="857"/>
      <c r="N44" s="855">
        <f>SUM(N45:N45)</f>
        <v>0</v>
      </c>
      <c r="O44" s="3034">
        <f>IF(Q44&gt;0,N44,"na")</f>
        <v>0</v>
      </c>
      <c r="P44" s="853">
        <f>SUM(P45)</f>
        <v>205203819</v>
      </c>
      <c r="Q44" s="853">
        <f t="shared" ref="Q44:S44" si="13">SUM(Q45)</f>
        <v>205203819</v>
      </c>
      <c r="R44" s="853">
        <f t="shared" si="13"/>
        <v>0</v>
      </c>
      <c r="S44" s="853">
        <f t="shared" si="13"/>
        <v>0</v>
      </c>
      <c r="T44" s="886">
        <f>+IF(Q44=0,0,R44/Q44)</f>
        <v>0</v>
      </c>
      <c r="U44" s="886">
        <f>+IF(R44=0,0,S44/R44)</f>
        <v>0</v>
      </c>
      <c r="V44" s="857"/>
      <c r="W44" s="857"/>
      <c r="X44" s="857"/>
      <c r="Y44" s="3037" t="s">
        <v>759</v>
      </c>
    </row>
    <row r="45" spans="1:25" ht="105.6">
      <c r="A45" s="2926"/>
      <c r="B45" s="226"/>
      <c r="C45" s="2926"/>
      <c r="D45" s="3033"/>
      <c r="E45" s="213" t="s">
        <v>802</v>
      </c>
      <c r="F45" s="226"/>
      <c r="G45" s="213" t="s">
        <v>803</v>
      </c>
      <c r="H45" s="226"/>
      <c r="I45" s="213" t="s">
        <v>804</v>
      </c>
      <c r="J45" s="213" t="s">
        <v>788</v>
      </c>
      <c r="K45" s="212">
        <v>630</v>
      </c>
      <c r="L45" s="249">
        <v>1</v>
      </c>
      <c r="M45" s="857">
        <v>0</v>
      </c>
      <c r="N45" s="854">
        <f t="shared" si="11"/>
        <v>0</v>
      </c>
      <c r="O45" s="3034"/>
      <c r="P45" s="250">
        <v>205203819</v>
      </c>
      <c r="Q45" s="250">
        <v>205203819</v>
      </c>
      <c r="R45" s="853">
        <v>0</v>
      </c>
      <c r="S45" s="853">
        <v>0</v>
      </c>
      <c r="T45" s="886">
        <f t="shared" ref="T45:U45" si="14">+IF(Q45=0,0,R45/Q45)</f>
        <v>0</v>
      </c>
      <c r="U45" s="886">
        <f t="shared" si="14"/>
        <v>0</v>
      </c>
      <c r="V45" s="857"/>
      <c r="W45" s="857"/>
      <c r="X45" s="857" t="s">
        <v>789</v>
      </c>
      <c r="Y45" s="3039"/>
    </row>
    <row r="46" spans="1:25" ht="14.4" customHeight="1">
      <c r="A46" s="2926">
        <v>4133</v>
      </c>
      <c r="B46" s="226"/>
      <c r="C46" s="2926" t="s">
        <v>123</v>
      </c>
      <c r="D46" s="3033" t="s">
        <v>805</v>
      </c>
      <c r="E46" s="212" t="s">
        <v>806</v>
      </c>
      <c r="F46" s="226"/>
      <c r="G46" s="212"/>
      <c r="H46" s="226"/>
      <c r="I46" s="213"/>
      <c r="J46" s="213"/>
      <c r="K46" s="212">
        <f>K47</f>
        <v>838</v>
      </c>
      <c r="L46" s="249">
        <f>SUM(L47:L47)</f>
        <v>1</v>
      </c>
      <c r="M46" s="857"/>
      <c r="N46" s="855">
        <f>SUM(N47:N47)</f>
        <v>0</v>
      </c>
      <c r="O46" s="3034">
        <f>IF(Q46&gt;0,N46,"na")</f>
        <v>0</v>
      </c>
      <c r="P46" s="853">
        <f>SUM(P47)</f>
        <v>314696673</v>
      </c>
      <c r="Q46" s="853">
        <f t="shared" ref="Q46:S46" si="15">SUM(Q47)</f>
        <v>314696673</v>
      </c>
      <c r="R46" s="853">
        <f t="shared" si="15"/>
        <v>0</v>
      </c>
      <c r="S46" s="853">
        <f t="shared" si="15"/>
        <v>0</v>
      </c>
      <c r="T46" s="886">
        <f>+IF(Q46=0,0,R46/Q46)</f>
        <v>0</v>
      </c>
      <c r="U46" s="886">
        <f>+IF(R46=0,0,S46/R46)</f>
        <v>0</v>
      </c>
      <c r="V46" s="857"/>
      <c r="W46" s="857"/>
      <c r="X46" s="857"/>
      <c r="Y46" s="3037" t="s">
        <v>759</v>
      </c>
    </row>
    <row r="47" spans="1:25" ht="105.6">
      <c r="A47" s="2926"/>
      <c r="B47" s="226"/>
      <c r="C47" s="2926"/>
      <c r="D47" s="3033"/>
      <c r="E47" s="213" t="s">
        <v>807</v>
      </c>
      <c r="F47" s="226"/>
      <c r="G47" s="213" t="s">
        <v>803</v>
      </c>
      <c r="H47" s="226"/>
      <c r="I47" s="213" t="s">
        <v>808</v>
      </c>
      <c r="J47" s="213" t="s">
        <v>788</v>
      </c>
      <c r="K47" s="212">
        <v>838</v>
      </c>
      <c r="L47" s="249">
        <v>1</v>
      </c>
      <c r="M47" s="857">
        <v>0</v>
      </c>
      <c r="N47" s="854">
        <f t="shared" si="11"/>
        <v>0</v>
      </c>
      <c r="O47" s="3034"/>
      <c r="P47" s="250">
        <v>314696673</v>
      </c>
      <c r="Q47" s="250">
        <v>314696673</v>
      </c>
      <c r="R47" s="853">
        <v>0</v>
      </c>
      <c r="S47" s="853">
        <v>0</v>
      </c>
      <c r="T47" s="886">
        <f t="shared" ref="T47:U47" si="16">+IF(Q47=0,0,R47/Q47)</f>
        <v>0</v>
      </c>
      <c r="U47" s="886">
        <f t="shared" si="16"/>
        <v>0</v>
      </c>
      <c r="V47" s="857"/>
      <c r="W47" s="857"/>
      <c r="X47" s="857" t="s">
        <v>789</v>
      </c>
      <c r="Y47" s="3039"/>
    </row>
    <row r="48" spans="1:25" ht="14.4" customHeight="1">
      <c r="A48" s="2926">
        <v>4133</v>
      </c>
      <c r="B48" s="226"/>
      <c r="C48" s="2926" t="s">
        <v>123</v>
      </c>
      <c r="D48" s="3033" t="s">
        <v>809</v>
      </c>
      <c r="E48" s="212" t="s">
        <v>810</v>
      </c>
      <c r="F48" s="226"/>
      <c r="G48" s="212"/>
      <c r="H48" s="226"/>
      <c r="I48" s="213"/>
      <c r="J48" s="213"/>
      <c r="K48" s="212">
        <f>K49</f>
        <v>2519</v>
      </c>
      <c r="L48" s="249">
        <f>SUM(L49:L49)</f>
        <v>1</v>
      </c>
      <c r="M48" s="857"/>
      <c r="N48" s="855">
        <f>SUM(N49:N49)</f>
        <v>0</v>
      </c>
      <c r="O48" s="3034">
        <f>IF(Q48&gt;0,N48,"na")</f>
        <v>0</v>
      </c>
      <c r="P48" s="853">
        <f>SUM(P49)</f>
        <v>608770065</v>
      </c>
      <c r="Q48" s="853">
        <f t="shared" ref="Q48:S48" si="17">SUM(Q49)</f>
        <v>608770065</v>
      </c>
      <c r="R48" s="853">
        <f t="shared" si="17"/>
        <v>0</v>
      </c>
      <c r="S48" s="853">
        <f t="shared" si="17"/>
        <v>0</v>
      </c>
      <c r="T48" s="886">
        <f>+IF(Q48=0,0,R48/Q48)</f>
        <v>0</v>
      </c>
      <c r="U48" s="886">
        <f>+IF(R48=0,0,S48/R48)</f>
        <v>0</v>
      </c>
      <c r="V48" s="857"/>
      <c r="W48" s="857"/>
      <c r="X48" s="857"/>
      <c r="Y48" s="3037" t="s">
        <v>759</v>
      </c>
    </row>
    <row r="49" spans="1:25" ht="105.6">
      <c r="A49" s="2926"/>
      <c r="B49" s="226"/>
      <c r="C49" s="2926"/>
      <c r="D49" s="3033"/>
      <c r="E49" s="213" t="s">
        <v>811</v>
      </c>
      <c r="F49" s="226"/>
      <c r="G49" s="213" t="s">
        <v>812</v>
      </c>
      <c r="H49" s="226"/>
      <c r="I49" s="213" t="s">
        <v>813</v>
      </c>
      <c r="J49" s="213" t="s">
        <v>788</v>
      </c>
      <c r="K49" s="212">
        <v>2519</v>
      </c>
      <c r="L49" s="249">
        <v>1</v>
      </c>
      <c r="M49" s="857">
        <v>0</v>
      </c>
      <c r="N49" s="854">
        <f t="shared" si="11"/>
        <v>0</v>
      </c>
      <c r="O49" s="3034"/>
      <c r="P49" s="250">
        <v>608770065</v>
      </c>
      <c r="Q49" s="250">
        <v>608770065</v>
      </c>
      <c r="R49" s="853">
        <v>0</v>
      </c>
      <c r="S49" s="853">
        <v>0</v>
      </c>
      <c r="T49" s="886">
        <f t="shared" ref="T49:U49" si="18">+IF(Q49=0,0,R49/Q49)</f>
        <v>0</v>
      </c>
      <c r="U49" s="886">
        <f t="shared" si="18"/>
        <v>0</v>
      </c>
      <c r="V49" s="857"/>
      <c r="W49" s="857"/>
      <c r="X49" s="857" t="s">
        <v>789</v>
      </c>
      <c r="Y49" s="3039"/>
    </row>
    <row r="50" spans="1:25" ht="14.4" customHeight="1">
      <c r="A50" s="2926">
        <v>4133</v>
      </c>
      <c r="B50" s="226"/>
      <c r="C50" s="2926" t="s">
        <v>123</v>
      </c>
      <c r="D50" s="3033" t="s">
        <v>814</v>
      </c>
      <c r="E50" s="212" t="s">
        <v>815</v>
      </c>
      <c r="F50" s="226"/>
      <c r="G50" s="212"/>
      <c r="H50" s="226"/>
      <c r="I50" s="213"/>
      <c r="J50" s="213"/>
      <c r="K50" s="212">
        <f>K51</f>
        <v>8700</v>
      </c>
      <c r="L50" s="249">
        <f>SUM(L51)</f>
        <v>1</v>
      </c>
      <c r="M50" s="857"/>
      <c r="N50" s="855">
        <f>SUM(N51:N51)</f>
        <v>0</v>
      </c>
      <c r="O50" s="3034">
        <f>IF(Q50&gt;0,N50,"na")</f>
        <v>0</v>
      </c>
      <c r="P50" s="853">
        <f>SUM(P51)</f>
        <v>542044700</v>
      </c>
      <c r="Q50" s="853">
        <f t="shared" ref="Q50:S50" si="19">SUM(Q51)</f>
        <v>542044700</v>
      </c>
      <c r="R50" s="853">
        <f t="shared" si="19"/>
        <v>0</v>
      </c>
      <c r="S50" s="853">
        <f t="shared" si="19"/>
        <v>0</v>
      </c>
      <c r="T50" s="886">
        <f>+IF(Q50=0,0,R50/Q50)</f>
        <v>0</v>
      </c>
      <c r="U50" s="886">
        <f>+IF(R50=0,0,S50/R50)</f>
        <v>0</v>
      </c>
      <c r="V50" s="857"/>
      <c r="W50" s="857"/>
      <c r="X50" s="857"/>
      <c r="Y50" s="3037" t="s">
        <v>759</v>
      </c>
    </row>
    <row r="51" spans="1:25" ht="105.6">
      <c r="A51" s="2926"/>
      <c r="B51" s="226"/>
      <c r="C51" s="2926"/>
      <c r="D51" s="3033"/>
      <c r="E51" s="213" t="s">
        <v>816</v>
      </c>
      <c r="F51" s="226"/>
      <c r="G51" s="212" t="s">
        <v>803</v>
      </c>
      <c r="H51" s="226"/>
      <c r="I51" s="213" t="s">
        <v>817</v>
      </c>
      <c r="J51" s="213" t="s">
        <v>818</v>
      </c>
      <c r="K51" s="212">
        <v>8700</v>
      </c>
      <c r="L51" s="249">
        <v>1</v>
      </c>
      <c r="M51" s="857">
        <v>0</v>
      </c>
      <c r="N51" s="854">
        <f t="shared" si="11"/>
        <v>0</v>
      </c>
      <c r="O51" s="3034"/>
      <c r="P51" s="250">
        <v>542044700</v>
      </c>
      <c r="Q51" s="250">
        <v>542044700</v>
      </c>
      <c r="R51" s="853">
        <v>0</v>
      </c>
      <c r="S51" s="853">
        <v>0</v>
      </c>
      <c r="T51" s="886">
        <f t="shared" ref="T51:U51" si="20">+IF(Q51=0,0,R51/Q51)</f>
        <v>0</v>
      </c>
      <c r="U51" s="886">
        <f t="shared" si="20"/>
        <v>0</v>
      </c>
      <c r="V51" s="857"/>
      <c r="W51" s="857"/>
      <c r="X51" s="857" t="s">
        <v>789</v>
      </c>
      <c r="Y51" s="3039"/>
    </row>
    <row r="52" spans="1:25" ht="14.4" customHeight="1">
      <c r="A52" s="2926">
        <v>4133</v>
      </c>
      <c r="B52" s="226"/>
      <c r="C52" s="2926" t="s">
        <v>123</v>
      </c>
      <c r="D52" s="3033" t="s">
        <v>819</v>
      </c>
      <c r="E52" s="212" t="s">
        <v>820</v>
      </c>
      <c r="F52" s="226"/>
      <c r="G52" s="212"/>
      <c r="H52" s="226"/>
      <c r="I52" s="213"/>
      <c r="J52" s="213"/>
      <c r="K52" s="212">
        <f>K53</f>
        <v>4700</v>
      </c>
      <c r="L52" s="249">
        <f>SUM(L53:L53)</f>
        <v>1</v>
      </c>
      <c r="M52" s="857"/>
      <c r="N52" s="855"/>
      <c r="O52" s="3034">
        <f>IF(Q52&gt;0,N52,"na")</f>
        <v>0</v>
      </c>
      <c r="P52" s="853">
        <f>SUM(P53)</f>
        <v>812961055</v>
      </c>
      <c r="Q52" s="853">
        <f t="shared" ref="Q52:S52" si="21">SUM(Q53)</f>
        <v>812961055</v>
      </c>
      <c r="R52" s="853">
        <f t="shared" si="21"/>
        <v>0</v>
      </c>
      <c r="S52" s="853">
        <f t="shared" si="21"/>
        <v>0</v>
      </c>
      <c r="T52" s="886">
        <f>+IF(Q52=0,0,R52/Q52)</f>
        <v>0</v>
      </c>
      <c r="U52" s="886">
        <f>+IF(R52=0,0,S52/R52)</f>
        <v>0</v>
      </c>
      <c r="V52" s="857"/>
      <c r="W52" s="857"/>
      <c r="X52" s="857"/>
      <c r="Y52" s="3037" t="s">
        <v>759</v>
      </c>
    </row>
    <row r="53" spans="1:25" ht="105.6">
      <c r="A53" s="2926"/>
      <c r="B53" s="226"/>
      <c r="C53" s="2926"/>
      <c r="D53" s="3033"/>
      <c r="E53" s="213" t="s">
        <v>821</v>
      </c>
      <c r="F53" s="226"/>
      <c r="G53" s="213" t="s">
        <v>803</v>
      </c>
      <c r="H53" s="226"/>
      <c r="I53" s="213" t="s">
        <v>822</v>
      </c>
      <c r="J53" s="213" t="s">
        <v>788</v>
      </c>
      <c r="K53" s="212">
        <v>4700</v>
      </c>
      <c r="L53" s="249">
        <v>1</v>
      </c>
      <c r="M53" s="857">
        <v>0</v>
      </c>
      <c r="N53" s="854">
        <f t="shared" si="11"/>
        <v>0</v>
      </c>
      <c r="O53" s="3034"/>
      <c r="P53" s="250">
        <v>812961055</v>
      </c>
      <c r="Q53" s="250">
        <v>812961055</v>
      </c>
      <c r="R53" s="853">
        <v>0</v>
      </c>
      <c r="S53" s="853">
        <v>0</v>
      </c>
      <c r="T53" s="886">
        <f t="shared" ref="T53:U53" si="22">+IF(Q53=0,0,R53/Q53)</f>
        <v>0</v>
      </c>
      <c r="U53" s="886">
        <f t="shared" si="22"/>
        <v>0</v>
      </c>
      <c r="V53" s="857"/>
      <c r="W53" s="857"/>
      <c r="X53" s="857" t="s">
        <v>789</v>
      </c>
      <c r="Y53" s="3039"/>
    </row>
    <row r="54" spans="1:25" ht="14.4" customHeight="1">
      <c r="A54" s="2926">
        <v>4133</v>
      </c>
      <c r="B54" s="226"/>
      <c r="C54" s="2926" t="s">
        <v>123</v>
      </c>
      <c r="D54" s="3033" t="s">
        <v>823</v>
      </c>
      <c r="E54" s="212" t="s">
        <v>824</v>
      </c>
      <c r="F54" s="226"/>
      <c r="G54" s="212"/>
      <c r="H54" s="226"/>
      <c r="I54" s="213"/>
      <c r="J54" s="213"/>
      <c r="K54" s="212">
        <f>K55</f>
        <v>6088</v>
      </c>
      <c r="L54" s="249">
        <f>SUM(L55:L55)</f>
        <v>1</v>
      </c>
      <c r="M54" s="857"/>
      <c r="N54" s="855">
        <f>SUM(N55:N55)</f>
        <v>0</v>
      </c>
      <c r="O54" s="3034">
        <f>IF(Q54&gt;0,N54,"na")</f>
        <v>0</v>
      </c>
      <c r="P54" s="853">
        <f>SUM(P55)</f>
        <v>1034413361</v>
      </c>
      <c r="Q54" s="853">
        <f t="shared" ref="Q54:S54" si="23">SUM(Q55)</f>
        <v>1034413361</v>
      </c>
      <c r="R54" s="853">
        <f t="shared" si="23"/>
        <v>0</v>
      </c>
      <c r="S54" s="853">
        <f t="shared" si="23"/>
        <v>0</v>
      </c>
      <c r="T54" s="886">
        <f>+IF(Q54=0,0,R54/Q54)</f>
        <v>0</v>
      </c>
      <c r="U54" s="886">
        <f>+IF(R54=0,0,S54/R54)</f>
        <v>0</v>
      </c>
      <c r="V54" s="857"/>
      <c r="W54" s="857"/>
      <c r="X54" s="857"/>
      <c r="Y54" s="3037" t="s">
        <v>759</v>
      </c>
    </row>
    <row r="55" spans="1:25" ht="52.8">
      <c r="A55" s="2926"/>
      <c r="B55" s="226"/>
      <c r="C55" s="2926"/>
      <c r="D55" s="3033"/>
      <c r="E55" s="213" t="s">
        <v>825</v>
      </c>
      <c r="F55" s="555"/>
      <c r="G55" s="213" t="s">
        <v>786</v>
      </c>
      <c r="H55" s="555"/>
      <c r="I55" s="213" t="s">
        <v>826</v>
      </c>
      <c r="J55" s="213" t="s">
        <v>788</v>
      </c>
      <c r="K55" s="807">
        <v>6088</v>
      </c>
      <c r="L55" s="805">
        <v>1</v>
      </c>
      <c r="M55" s="857">
        <v>0</v>
      </c>
      <c r="N55" s="854">
        <f t="shared" si="11"/>
        <v>0</v>
      </c>
      <c r="O55" s="3034"/>
      <c r="P55" s="557">
        <v>1034413361</v>
      </c>
      <c r="Q55" s="557">
        <v>1034413361</v>
      </c>
      <c r="R55" s="853">
        <v>0</v>
      </c>
      <c r="S55" s="853">
        <v>0</v>
      </c>
      <c r="T55" s="886">
        <f t="shared" ref="T55:U55" si="24">+IF(Q55=0,0,R55/Q55)</f>
        <v>0</v>
      </c>
      <c r="U55" s="886">
        <f t="shared" si="24"/>
        <v>0</v>
      </c>
      <c r="V55" s="857"/>
      <c r="W55" s="857"/>
      <c r="X55" s="857" t="s">
        <v>789</v>
      </c>
      <c r="Y55" s="3039"/>
    </row>
    <row r="56" spans="1:25" ht="14.4" customHeight="1">
      <c r="A56" s="2926">
        <v>4133</v>
      </c>
      <c r="B56" s="226"/>
      <c r="C56" s="2926" t="s">
        <v>123</v>
      </c>
      <c r="D56" s="3033" t="s">
        <v>827</v>
      </c>
      <c r="E56" s="212" t="s">
        <v>828</v>
      </c>
      <c r="F56" s="226"/>
      <c r="G56" s="212"/>
      <c r="H56" s="226"/>
      <c r="I56" s="213"/>
      <c r="J56" s="213"/>
      <c r="K56" s="212">
        <f>K57</f>
        <v>15700</v>
      </c>
      <c r="L56" s="249">
        <f>SUM(L57:L57)</f>
        <v>1</v>
      </c>
      <c r="M56" s="857"/>
      <c r="N56" s="855">
        <f>SUM(N57:N57)</f>
        <v>0</v>
      </c>
      <c r="O56" s="3034">
        <f>IF(Q56&gt;0,N56,"na")</f>
        <v>0</v>
      </c>
      <c r="P56" s="853">
        <f>SUM(P57)</f>
        <v>842407577</v>
      </c>
      <c r="Q56" s="853">
        <f t="shared" ref="Q56:S56" si="25">SUM(Q57)</f>
        <v>842407577</v>
      </c>
      <c r="R56" s="853">
        <f t="shared" si="25"/>
        <v>0</v>
      </c>
      <c r="S56" s="853">
        <f t="shared" si="25"/>
        <v>0</v>
      </c>
      <c r="T56" s="886">
        <f>+IF(Q56=0,0,R56/Q56)</f>
        <v>0</v>
      </c>
      <c r="U56" s="886">
        <f>+IF(R56=0,0,S56/R56)</f>
        <v>0</v>
      </c>
      <c r="V56" s="857"/>
      <c r="W56" s="857"/>
      <c r="X56" s="857"/>
      <c r="Y56" s="3037" t="s">
        <v>759</v>
      </c>
    </row>
    <row r="57" spans="1:25" ht="52.8">
      <c r="A57" s="2926"/>
      <c r="B57" s="226"/>
      <c r="C57" s="2926"/>
      <c r="D57" s="3033"/>
      <c r="E57" s="213" t="s">
        <v>829</v>
      </c>
      <c r="F57" s="555"/>
      <c r="G57" s="213" t="s">
        <v>786</v>
      </c>
      <c r="H57" s="555"/>
      <c r="I57" s="213" t="s">
        <v>830</v>
      </c>
      <c r="J57" s="213" t="s">
        <v>792</v>
      </c>
      <c r="K57" s="807">
        <v>15700</v>
      </c>
      <c r="L57" s="805">
        <v>1</v>
      </c>
      <c r="M57" s="857">
        <v>0</v>
      </c>
      <c r="N57" s="854">
        <f t="shared" si="11"/>
        <v>0</v>
      </c>
      <c r="O57" s="3034"/>
      <c r="P57" s="557">
        <v>842407577</v>
      </c>
      <c r="Q57" s="557">
        <v>842407577</v>
      </c>
      <c r="R57" s="853">
        <v>0</v>
      </c>
      <c r="S57" s="853">
        <v>0</v>
      </c>
      <c r="T57" s="886">
        <f t="shared" ref="T57:U57" si="26">+IF(Q57=0,0,R57/Q57)</f>
        <v>0</v>
      </c>
      <c r="U57" s="886">
        <f t="shared" si="26"/>
        <v>0</v>
      </c>
      <c r="V57" s="857"/>
      <c r="W57" s="857"/>
      <c r="X57" s="857" t="s">
        <v>789</v>
      </c>
      <c r="Y57" s="3039"/>
    </row>
    <row r="58" spans="1:25" ht="15.6">
      <c r="A58" s="839"/>
      <c r="B58" s="237">
        <v>53</v>
      </c>
      <c r="C58" s="237" t="s">
        <v>114</v>
      </c>
      <c r="D58" s="810" t="s">
        <v>189</v>
      </c>
      <c r="E58" s="838"/>
      <c r="F58" s="839"/>
      <c r="G58" s="839"/>
      <c r="H58" s="839"/>
      <c r="I58" s="839"/>
      <c r="J58" s="839"/>
      <c r="K58" s="839"/>
      <c r="L58" s="839"/>
      <c r="M58" s="839"/>
      <c r="N58" s="866"/>
      <c r="O58" s="866"/>
      <c r="P58" s="840"/>
      <c r="Q58" s="840"/>
      <c r="R58" s="840"/>
      <c r="S58" s="840"/>
      <c r="T58" s="890"/>
      <c r="U58" s="890"/>
      <c r="V58" s="843"/>
      <c r="W58" s="839"/>
      <c r="X58" s="839"/>
      <c r="Y58" s="837"/>
    </row>
    <row r="59" spans="1:25" ht="15.6">
      <c r="A59" s="839"/>
      <c r="B59" s="237">
        <v>5301</v>
      </c>
      <c r="C59" s="237" t="s">
        <v>115</v>
      </c>
      <c r="D59" s="238" t="s">
        <v>262</v>
      </c>
      <c r="E59" s="838"/>
      <c r="F59" s="839"/>
      <c r="G59" s="839"/>
      <c r="H59" s="839"/>
      <c r="I59" s="839"/>
      <c r="J59" s="839"/>
      <c r="K59" s="839"/>
      <c r="L59" s="839"/>
      <c r="M59" s="839"/>
      <c r="N59" s="866"/>
      <c r="O59" s="866"/>
      <c r="P59" s="840"/>
      <c r="Q59" s="840"/>
      <c r="R59" s="840"/>
      <c r="S59" s="840"/>
      <c r="T59" s="890"/>
      <c r="U59" s="890"/>
      <c r="V59" s="843"/>
      <c r="W59" s="839"/>
      <c r="X59" s="839"/>
      <c r="Y59" s="837"/>
    </row>
    <row r="60" spans="1:25">
      <c r="A60" s="846"/>
      <c r="B60" s="797">
        <v>5301001</v>
      </c>
      <c r="C60" s="797" t="s">
        <v>116</v>
      </c>
      <c r="D60" s="798" t="s">
        <v>831</v>
      </c>
      <c r="E60" s="845"/>
      <c r="F60" s="846"/>
      <c r="G60" s="846"/>
      <c r="H60" s="846"/>
      <c r="I60" s="846"/>
      <c r="J60" s="846"/>
      <c r="K60" s="846"/>
      <c r="L60" s="846"/>
      <c r="M60" s="846"/>
      <c r="N60" s="867"/>
      <c r="O60" s="867"/>
      <c r="P60" s="847"/>
      <c r="Q60" s="847"/>
      <c r="R60" s="847"/>
      <c r="S60" s="847"/>
      <c r="T60" s="891"/>
      <c r="U60" s="891"/>
      <c r="V60" s="850"/>
      <c r="W60" s="846"/>
      <c r="X60" s="846"/>
      <c r="Y60" s="844"/>
    </row>
    <row r="61" spans="1:25" ht="41.4">
      <c r="A61" s="846"/>
      <c r="B61" s="851">
        <v>53010010002</v>
      </c>
      <c r="C61" s="851" t="s">
        <v>117</v>
      </c>
      <c r="D61" s="846" t="s">
        <v>832</v>
      </c>
      <c r="E61" s="845"/>
      <c r="F61" s="846"/>
      <c r="G61" s="846"/>
      <c r="H61" s="868"/>
      <c r="I61" s="846"/>
      <c r="J61" s="846"/>
      <c r="K61" s="846"/>
      <c r="L61" s="846"/>
      <c r="M61" s="846"/>
      <c r="N61" s="867"/>
      <c r="O61" s="867"/>
      <c r="P61" s="847"/>
      <c r="Q61" s="847"/>
      <c r="R61" s="847"/>
      <c r="S61" s="847"/>
      <c r="T61" s="891"/>
      <c r="U61" s="891"/>
      <c r="V61" s="850"/>
      <c r="W61" s="846"/>
      <c r="X61" s="846"/>
      <c r="Y61" s="844"/>
    </row>
    <row r="62" spans="1:25">
      <c r="A62" s="2926">
        <v>4133</v>
      </c>
      <c r="B62" s="226"/>
      <c r="C62" s="2926" t="s">
        <v>123</v>
      </c>
      <c r="D62" s="3033" t="s">
        <v>833</v>
      </c>
      <c r="E62" s="212" t="s">
        <v>834</v>
      </c>
      <c r="F62" s="555"/>
      <c r="G62" s="549"/>
      <c r="H62" s="556"/>
      <c r="I62" s="549"/>
      <c r="J62" s="555"/>
      <c r="K62" s="807">
        <f>K63</f>
        <v>1478</v>
      </c>
      <c r="L62" s="805">
        <f>SUM(L63:L64)</f>
        <v>1</v>
      </c>
      <c r="M62" s="857"/>
      <c r="N62" s="855">
        <f>SUM(N63:N64)</f>
        <v>0</v>
      </c>
      <c r="O62" s="3034">
        <f>IF(Q62&gt;0,N62,"na")</f>
        <v>0</v>
      </c>
      <c r="P62" s="853">
        <f>SUM(P63:P64)</f>
        <v>4060227495</v>
      </c>
      <c r="Q62" s="853">
        <f t="shared" ref="Q62:S62" si="27">SUM(Q63:Q64)</f>
        <v>4060227495</v>
      </c>
      <c r="R62" s="853">
        <f t="shared" si="27"/>
        <v>156095500</v>
      </c>
      <c r="S62" s="853">
        <f t="shared" si="27"/>
        <v>23776000</v>
      </c>
      <c r="T62" s="886">
        <f>+IF(Q62=0,0,R62/Q62)</f>
        <v>3.8445013288596529E-2</v>
      </c>
      <c r="U62" s="886">
        <f>+IF(R62=0,0,S62/R62)</f>
        <v>0.15231701106053666</v>
      </c>
      <c r="V62" s="856"/>
      <c r="W62" s="857"/>
      <c r="X62" s="857"/>
      <c r="Y62" s="3037" t="s">
        <v>759</v>
      </c>
    </row>
    <row r="63" spans="1:25" ht="105.6">
      <c r="A63" s="2926"/>
      <c r="B63" s="226"/>
      <c r="C63" s="2926"/>
      <c r="D63" s="3033"/>
      <c r="E63" s="213" t="s">
        <v>835</v>
      </c>
      <c r="F63" s="555"/>
      <c r="G63" s="212" t="s">
        <v>836</v>
      </c>
      <c r="H63" s="555"/>
      <c r="I63" s="213" t="s">
        <v>837</v>
      </c>
      <c r="J63" s="213" t="s">
        <v>838</v>
      </c>
      <c r="K63" s="807">
        <v>1478</v>
      </c>
      <c r="L63" s="805">
        <v>0.9</v>
      </c>
      <c r="M63" s="857">
        <v>0</v>
      </c>
      <c r="N63" s="854">
        <f t="shared" ref="N63:N64" si="28">(M63/K63)*L63</f>
        <v>0</v>
      </c>
      <c r="O63" s="3034"/>
      <c r="P63" s="557">
        <v>3547582313</v>
      </c>
      <c r="Q63" s="557">
        <v>3547582313</v>
      </c>
      <c r="R63" s="853">
        <v>122968500</v>
      </c>
      <c r="S63" s="853">
        <v>10462000</v>
      </c>
      <c r="T63" s="886">
        <f t="shared" ref="T63:U64" si="29">+IF(Q63=0,0,R63/Q63)</f>
        <v>3.4662620666865415E-2</v>
      </c>
      <c r="U63" s="886">
        <f t="shared" si="29"/>
        <v>8.5078699016414766E-2</v>
      </c>
      <c r="V63" s="856">
        <v>45319</v>
      </c>
      <c r="W63" s="856">
        <v>45657</v>
      </c>
      <c r="X63" s="857" t="s">
        <v>839</v>
      </c>
      <c r="Y63" s="3038"/>
    </row>
    <row r="64" spans="1:25" ht="66">
      <c r="A64" s="2926"/>
      <c r="B64" s="226"/>
      <c r="C64" s="2926"/>
      <c r="D64" s="3033"/>
      <c r="E64" s="212" t="s">
        <v>840</v>
      </c>
      <c r="F64" s="555"/>
      <c r="G64" s="549"/>
      <c r="H64" s="555"/>
      <c r="I64" s="213" t="s">
        <v>841</v>
      </c>
      <c r="J64" s="213" t="s">
        <v>765</v>
      </c>
      <c r="K64" s="807">
        <v>200</v>
      </c>
      <c r="L64" s="805">
        <v>0.1</v>
      </c>
      <c r="M64" s="857">
        <v>0</v>
      </c>
      <c r="N64" s="854">
        <f t="shared" si="28"/>
        <v>0</v>
      </c>
      <c r="O64" s="3034"/>
      <c r="P64" s="557">
        <v>512645182</v>
      </c>
      <c r="Q64" s="557">
        <v>512645182</v>
      </c>
      <c r="R64" s="853">
        <v>33127000</v>
      </c>
      <c r="S64" s="853">
        <v>13314000</v>
      </c>
      <c r="T64" s="886">
        <f t="shared" si="29"/>
        <v>6.4619743173554303E-2</v>
      </c>
      <c r="U64" s="886">
        <f t="shared" si="29"/>
        <v>0.40190780933981346</v>
      </c>
      <c r="V64" s="856">
        <v>45317</v>
      </c>
      <c r="W64" s="856">
        <v>45657</v>
      </c>
      <c r="X64" s="857" t="s">
        <v>842</v>
      </c>
      <c r="Y64" s="3039"/>
    </row>
    <row r="65" spans="1:25">
      <c r="A65" s="2926">
        <v>4133</v>
      </c>
      <c r="B65" s="226"/>
      <c r="C65" s="2926" t="s">
        <v>123</v>
      </c>
      <c r="D65" s="3033" t="s">
        <v>843</v>
      </c>
      <c r="E65" s="212" t="s">
        <v>844</v>
      </c>
      <c r="F65" s="555"/>
      <c r="G65" s="549"/>
      <c r="H65" s="556"/>
      <c r="I65" s="549"/>
      <c r="J65" s="555"/>
      <c r="K65" s="807">
        <f>SUM(K66:K67)</f>
        <v>3675.74</v>
      </c>
      <c r="L65" s="805">
        <f>SUM(L66:L67)</f>
        <v>1</v>
      </c>
      <c r="M65" s="857"/>
      <c r="N65" s="855">
        <f>SUM(N66:N67)</f>
        <v>0.10392800421143616</v>
      </c>
      <c r="O65" s="3034">
        <f>IF(Q65&gt;0,N65,"na")</f>
        <v>0.10392800421143616</v>
      </c>
      <c r="P65" s="853">
        <f>SUM(P66:P67)</f>
        <v>4562801987</v>
      </c>
      <c r="Q65" s="853">
        <f t="shared" ref="Q65:S65" si="30">SUM(Q66:Q67)</f>
        <v>4562801987</v>
      </c>
      <c r="R65" s="853">
        <f t="shared" si="30"/>
        <v>490538000</v>
      </c>
      <c r="S65" s="853">
        <f t="shared" si="30"/>
        <v>78709000</v>
      </c>
      <c r="T65" s="886">
        <f>+IF(Q65=0,0,R65/Q65)</f>
        <v>0.10750806223842385</v>
      </c>
      <c r="U65" s="886">
        <f>+IF(R65=0,0,S65/R65)</f>
        <v>0.16045443981913735</v>
      </c>
      <c r="V65" s="856"/>
      <c r="W65" s="857"/>
      <c r="X65" s="857"/>
      <c r="Y65" s="3037" t="s">
        <v>759</v>
      </c>
    </row>
    <row r="66" spans="1:25" ht="52.8" customHeight="1">
      <c r="A66" s="2926"/>
      <c r="B66" s="226"/>
      <c r="C66" s="2926"/>
      <c r="D66" s="3033"/>
      <c r="E66" s="212" t="s">
        <v>845</v>
      </c>
      <c r="F66" s="555"/>
      <c r="G66" s="3033" t="s">
        <v>846</v>
      </c>
      <c r="H66" s="555"/>
      <c r="I66" s="213" t="s">
        <v>847</v>
      </c>
      <c r="J66" s="213" t="s">
        <v>848</v>
      </c>
      <c r="K66" s="807">
        <v>2176.65</v>
      </c>
      <c r="L66" s="805">
        <v>0.71</v>
      </c>
      <c r="M66" s="857">
        <v>200</v>
      </c>
      <c r="N66" s="854">
        <f t="shared" ref="N66:N67" si="31">(M66/K66)*L66</f>
        <v>6.5237865527301125E-2</v>
      </c>
      <c r="O66" s="3034"/>
      <c r="P66" s="557">
        <v>2978255130</v>
      </c>
      <c r="Q66" s="557">
        <v>2978255130</v>
      </c>
      <c r="R66" s="853">
        <v>287045000</v>
      </c>
      <c r="S66" s="853">
        <v>53789000</v>
      </c>
      <c r="T66" s="886">
        <f t="shared" ref="T66:U67" si="32">+IF(Q66=0,0,R66/Q66)</f>
        <v>9.6380258732232924E-2</v>
      </c>
      <c r="U66" s="886">
        <f t="shared" si="32"/>
        <v>0.18738873695761987</v>
      </c>
      <c r="V66" s="856">
        <v>45317</v>
      </c>
      <c r="W66" s="856">
        <v>45657</v>
      </c>
      <c r="X66" s="857" t="s">
        <v>849</v>
      </c>
      <c r="Y66" s="3038"/>
    </row>
    <row r="67" spans="1:25" ht="79.2">
      <c r="A67" s="2926"/>
      <c r="B67" s="226"/>
      <c r="C67" s="2926"/>
      <c r="D67" s="3033"/>
      <c r="E67" s="212" t="s">
        <v>850</v>
      </c>
      <c r="F67" s="555"/>
      <c r="G67" s="3035"/>
      <c r="H67" s="555"/>
      <c r="I67" s="213" t="s">
        <v>851</v>
      </c>
      <c r="J67" s="213" t="s">
        <v>852</v>
      </c>
      <c r="K67" s="807">
        <v>1499.09</v>
      </c>
      <c r="L67" s="805">
        <v>0.28999999999999998</v>
      </c>
      <c r="M67" s="857">
        <v>200</v>
      </c>
      <c r="N67" s="854">
        <f t="shared" si="31"/>
        <v>3.8690138684135039E-2</v>
      </c>
      <c r="O67" s="3034"/>
      <c r="P67" s="557">
        <v>1584546857</v>
      </c>
      <c r="Q67" s="557">
        <v>1584546857</v>
      </c>
      <c r="R67" s="853">
        <v>203493000</v>
      </c>
      <c r="S67" s="853">
        <v>24920000</v>
      </c>
      <c r="T67" s="886">
        <f t="shared" si="32"/>
        <v>0.12842346636897214</v>
      </c>
      <c r="U67" s="886">
        <f t="shared" si="32"/>
        <v>0.12246121488208439</v>
      </c>
      <c r="V67" s="856">
        <v>45318</v>
      </c>
      <c r="W67" s="856">
        <v>45657</v>
      </c>
      <c r="X67" s="857" t="s">
        <v>853</v>
      </c>
      <c r="Y67" s="3039"/>
    </row>
    <row r="68" spans="1:25">
      <c r="A68" s="2926">
        <v>4133</v>
      </c>
      <c r="B68" s="226"/>
      <c r="C68" s="2926" t="s">
        <v>123</v>
      </c>
      <c r="D68" s="3033" t="s">
        <v>854</v>
      </c>
      <c r="E68" s="212" t="s">
        <v>855</v>
      </c>
      <c r="F68" s="226"/>
      <c r="G68" s="212"/>
      <c r="H68" s="226"/>
      <c r="I68" s="213"/>
      <c r="J68" s="213"/>
      <c r="K68" s="212"/>
      <c r="L68" s="249">
        <f>SUM(L69:L70)</f>
        <v>1</v>
      </c>
      <c r="M68" s="857"/>
      <c r="N68" s="855">
        <f>SUM(N69:N70)</f>
        <v>0</v>
      </c>
      <c r="O68" s="3034">
        <f>IF(Q68&gt;0,N68,"na")</f>
        <v>0</v>
      </c>
      <c r="P68" s="853">
        <f>SUM(P69:P70)</f>
        <v>88000000</v>
      </c>
      <c r="Q68" s="853">
        <f t="shared" ref="Q68:S68" si="33">SUM(Q69:Q70)</f>
        <v>88000000</v>
      </c>
      <c r="R68" s="853">
        <f t="shared" si="33"/>
        <v>0</v>
      </c>
      <c r="S68" s="853">
        <f t="shared" si="33"/>
        <v>0</v>
      </c>
      <c r="T68" s="886">
        <f>+IF(Q68=0,0,R68/Q68)</f>
        <v>0</v>
      </c>
      <c r="U68" s="886">
        <f>+IF(R68=0,0,S68/R68)</f>
        <v>0</v>
      </c>
      <c r="V68" s="857"/>
      <c r="W68" s="857"/>
      <c r="X68" s="857"/>
      <c r="Y68" s="3037" t="s">
        <v>759</v>
      </c>
    </row>
    <row r="69" spans="1:25" ht="79.2">
      <c r="A69" s="2926"/>
      <c r="B69" s="226"/>
      <c r="C69" s="2926"/>
      <c r="D69" s="3033"/>
      <c r="E69" s="212" t="s">
        <v>856</v>
      </c>
      <c r="F69" s="226"/>
      <c r="G69" s="212"/>
      <c r="H69" s="226"/>
      <c r="I69" s="213" t="s">
        <v>857</v>
      </c>
      <c r="J69" s="213" t="s">
        <v>268</v>
      </c>
      <c r="K69" s="212">
        <v>70</v>
      </c>
      <c r="L69" s="249">
        <v>0.32</v>
      </c>
      <c r="M69" s="857">
        <v>0</v>
      </c>
      <c r="N69" s="854">
        <f t="shared" ref="N69:N70" si="34">(M69/K69)*L69</f>
        <v>0</v>
      </c>
      <c r="O69" s="3034"/>
      <c r="P69" s="250">
        <v>28427100</v>
      </c>
      <c r="Q69" s="250">
        <v>28427100</v>
      </c>
      <c r="R69" s="853">
        <v>0</v>
      </c>
      <c r="S69" s="853">
        <v>0</v>
      </c>
      <c r="T69" s="886">
        <f t="shared" ref="T69:U70" si="35">+IF(Q69=0,0,R69/Q69)</f>
        <v>0</v>
      </c>
      <c r="U69" s="886">
        <f t="shared" si="35"/>
        <v>0</v>
      </c>
      <c r="V69" s="857"/>
      <c r="W69" s="857"/>
      <c r="X69" s="857" t="s">
        <v>858</v>
      </c>
      <c r="Y69" s="3038"/>
    </row>
    <row r="70" spans="1:25" ht="145.19999999999999">
      <c r="A70" s="2926"/>
      <c r="B70" s="226"/>
      <c r="C70" s="2926"/>
      <c r="D70" s="3033"/>
      <c r="E70" s="212" t="s">
        <v>859</v>
      </c>
      <c r="F70" s="226"/>
      <c r="G70" s="212" t="s">
        <v>860</v>
      </c>
      <c r="H70" s="226"/>
      <c r="I70" s="213" t="s">
        <v>861</v>
      </c>
      <c r="J70" s="213" t="s">
        <v>862</v>
      </c>
      <c r="K70" s="212">
        <v>5.5</v>
      </c>
      <c r="L70" s="249">
        <v>0.68</v>
      </c>
      <c r="M70" s="857">
        <v>0</v>
      </c>
      <c r="N70" s="854">
        <f t="shared" si="34"/>
        <v>0</v>
      </c>
      <c r="O70" s="3034"/>
      <c r="P70" s="250">
        <v>59572900</v>
      </c>
      <c r="Q70" s="250">
        <v>59572900</v>
      </c>
      <c r="R70" s="853">
        <v>0</v>
      </c>
      <c r="S70" s="853">
        <v>0</v>
      </c>
      <c r="T70" s="886">
        <f t="shared" si="35"/>
        <v>0</v>
      </c>
      <c r="U70" s="886">
        <f>+IF(R70=0,0,S70/R70)</f>
        <v>0</v>
      </c>
      <c r="V70" s="857"/>
      <c r="W70" s="857"/>
      <c r="X70" s="857" t="s">
        <v>863</v>
      </c>
      <c r="Y70" s="3039"/>
    </row>
    <row r="71" spans="1:25">
      <c r="A71" s="2926">
        <v>4133</v>
      </c>
      <c r="B71" s="226"/>
      <c r="C71" s="2926" t="s">
        <v>123</v>
      </c>
      <c r="D71" s="3033" t="s">
        <v>864</v>
      </c>
      <c r="E71" s="212" t="s">
        <v>865</v>
      </c>
      <c r="F71" s="226"/>
      <c r="G71" s="212"/>
      <c r="H71" s="226"/>
      <c r="I71" s="213"/>
      <c r="J71" s="213"/>
      <c r="K71" s="212">
        <v>2</v>
      </c>
      <c r="L71" s="249">
        <f>SUM(L72:L73)</f>
        <v>1</v>
      </c>
      <c r="M71" s="857"/>
      <c r="N71" s="855">
        <f>SUM(N72:N73)</f>
        <v>0</v>
      </c>
      <c r="O71" s="3034">
        <f>IF(Q71&gt;0,N71,"na")</f>
        <v>0</v>
      </c>
      <c r="P71" s="853">
        <f>SUM(P72:P73)</f>
        <v>71517500</v>
      </c>
      <c r="Q71" s="853">
        <f t="shared" ref="Q71:S71" si="36">SUM(Q72:Q73)</f>
        <v>71517500</v>
      </c>
      <c r="R71" s="853">
        <f t="shared" si="36"/>
        <v>0</v>
      </c>
      <c r="S71" s="853">
        <f t="shared" si="36"/>
        <v>0</v>
      </c>
      <c r="T71" s="886">
        <f>+IF(Q71=0,0,R71/Q71)</f>
        <v>0</v>
      </c>
      <c r="U71" s="886">
        <f>+IF(R71=0,0,S71/R71)</f>
        <v>0</v>
      </c>
      <c r="V71" s="857"/>
      <c r="W71" s="857"/>
      <c r="X71" s="857"/>
      <c r="Y71" s="3037" t="s">
        <v>759</v>
      </c>
    </row>
    <row r="72" spans="1:25" ht="145.19999999999999">
      <c r="A72" s="2926"/>
      <c r="B72" s="226"/>
      <c r="C72" s="2926"/>
      <c r="D72" s="3033"/>
      <c r="E72" s="212" t="s">
        <v>866</v>
      </c>
      <c r="F72" s="226"/>
      <c r="G72" s="212" t="s">
        <v>860</v>
      </c>
      <c r="H72" s="226"/>
      <c r="I72" s="213" t="s">
        <v>867</v>
      </c>
      <c r="J72" s="213" t="s">
        <v>868</v>
      </c>
      <c r="K72" s="212">
        <v>2</v>
      </c>
      <c r="L72" s="249">
        <v>0.5</v>
      </c>
      <c r="M72" s="857">
        <v>0</v>
      </c>
      <c r="N72" s="854">
        <f t="shared" ref="N72:N73" si="37">(M72/K72)*L72</f>
        <v>0</v>
      </c>
      <c r="O72" s="3034"/>
      <c r="P72" s="250">
        <v>67767500</v>
      </c>
      <c r="Q72" s="250">
        <v>67767500</v>
      </c>
      <c r="R72" s="853">
        <v>0</v>
      </c>
      <c r="S72" s="853">
        <v>0</v>
      </c>
      <c r="T72" s="886">
        <f t="shared" ref="T72:U73" si="38">+IF(Q72=0,0,R72/Q72)</f>
        <v>0</v>
      </c>
      <c r="U72" s="886">
        <f t="shared" si="38"/>
        <v>0</v>
      </c>
      <c r="V72" s="857"/>
      <c r="W72" s="857"/>
      <c r="X72" s="857" t="s">
        <v>869</v>
      </c>
      <c r="Y72" s="3038"/>
    </row>
    <row r="73" spans="1:25" ht="39.6">
      <c r="A73" s="2926"/>
      <c r="B73" s="226"/>
      <c r="C73" s="2926"/>
      <c r="D73" s="3033"/>
      <c r="E73" s="212" t="s">
        <v>870</v>
      </c>
      <c r="F73" s="226"/>
      <c r="G73" s="212"/>
      <c r="H73" s="226"/>
      <c r="I73" s="213" t="s">
        <v>871</v>
      </c>
      <c r="J73" s="213" t="s">
        <v>765</v>
      </c>
      <c r="K73" s="212">
        <v>45</v>
      </c>
      <c r="L73" s="249">
        <v>0.5</v>
      </c>
      <c r="M73" s="857">
        <v>0</v>
      </c>
      <c r="N73" s="854">
        <f t="shared" si="37"/>
        <v>0</v>
      </c>
      <c r="O73" s="3034"/>
      <c r="P73" s="250">
        <v>3750000</v>
      </c>
      <c r="Q73" s="250">
        <v>3750000</v>
      </c>
      <c r="R73" s="853">
        <v>0</v>
      </c>
      <c r="S73" s="853">
        <v>0</v>
      </c>
      <c r="T73" s="886">
        <f t="shared" si="38"/>
        <v>0</v>
      </c>
      <c r="U73" s="886">
        <f t="shared" si="38"/>
        <v>0</v>
      </c>
      <c r="V73" s="857"/>
      <c r="W73" s="857"/>
      <c r="X73" s="857" t="s">
        <v>869</v>
      </c>
      <c r="Y73" s="3039"/>
    </row>
    <row r="74" spans="1:25" ht="27.6">
      <c r="A74" s="846"/>
      <c r="B74" s="851">
        <v>53010010003</v>
      </c>
      <c r="C74" s="851" t="s">
        <v>117</v>
      </c>
      <c r="D74" s="846" t="s">
        <v>872</v>
      </c>
      <c r="E74" s="846"/>
      <c r="F74" s="846"/>
      <c r="G74" s="846"/>
      <c r="H74" s="846"/>
      <c r="I74" s="846"/>
      <c r="J74" s="846"/>
      <c r="K74" s="846"/>
      <c r="L74" s="846"/>
      <c r="M74" s="846"/>
      <c r="N74" s="867"/>
      <c r="O74" s="867"/>
      <c r="P74" s="847"/>
      <c r="Q74" s="847"/>
      <c r="R74" s="847"/>
      <c r="S74" s="847"/>
      <c r="T74" s="891"/>
      <c r="U74" s="891"/>
      <c r="V74" s="850"/>
      <c r="W74" s="846"/>
      <c r="X74" s="846"/>
      <c r="Y74" s="844"/>
    </row>
    <row r="75" spans="1:25">
      <c r="A75" s="2926">
        <v>4133</v>
      </c>
      <c r="B75" s="226"/>
      <c r="C75" s="2926" t="s">
        <v>123</v>
      </c>
      <c r="D75" s="3033" t="s">
        <v>873</v>
      </c>
      <c r="E75" s="212" t="s">
        <v>874</v>
      </c>
      <c r="F75" s="555"/>
      <c r="G75" s="549"/>
      <c r="H75" s="555"/>
      <c r="I75" s="549"/>
      <c r="J75" s="555"/>
      <c r="K75" s="807">
        <v>50</v>
      </c>
      <c r="L75" s="869">
        <f>SUM(L76:L78)</f>
        <v>1</v>
      </c>
      <c r="M75" s="857"/>
      <c r="N75" s="855">
        <f>SUM(N76:N78)</f>
        <v>7.0000000000000007E-2</v>
      </c>
      <c r="O75" s="3034">
        <f>IF(Q75&gt;0,N75,"na")</f>
        <v>7.0000000000000007E-2</v>
      </c>
      <c r="P75" s="853">
        <f>SUM(P76:P78)</f>
        <v>1553111760</v>
      </c>
      <c r="Q75" s="853">
        <f t="shared" ref="Q75:S75" si="39">SUM(Q76:Q78)</f>
        <v>1553111760</v>
      </c>
      <c r="R75" s="853">
        <f t="shared" si="39"/>
        <v>127791000</v>
      </c>
      <c r="S75" s="853">
        <f t="shared" si="39"/>
        <v>35331500</v>
      </c>
      <c r="T75" s="886">
        <f>+IF(Q75=0,0,R75/Q75)</f>
        <v>8.2280620938701796E-2</v>
      </c>
      <c r="U75" s="886">
        <f>+IF(R75=0,0,S75/R75)</f>
        <v>0.27647878176084389</v>
      </c>
      <c r="V75" s="856"/>
      <c r="W75" s="857"/>
      <c r="X75" s="857"/>
      <c r="Y75" s="3037" t="s">
        <v>759</v>
      </c>
    </row>
    <row r="76" spans="1:25" ht="52.8" customHeight="1">
      <c r="A76" s="2926"/>
      <c r="B76" s="226"/>
      <c r="C76" s="2926"/>
      <c r="D76" s="3033"/>
      <c r="E76" s="212" t="s">
        <v>875</v>
      </c>
      <c r="F76" s="555"/>
      <c r="G76" s="3033" t="s">
        <v>876</v>
      </c>
      <c r="H76" s="2928"/>
      <c r="I76" s="213" t="s">
        <v>877</v>
      </c>
      <c r="J76" s="213" t="s">
        <v>848</v>
      </c>
      <c r="K76" s="807">
        <v>50</v>
      </c>
      <c r="L76" s="805">
        <v>0.5</v>
      </c>
      <c r="M76" s="857">
        <v>7</v>
      </c>
      <c r="N76" s="854">
        <f t="shared" ref="N76:N78" si="40">(M76/K76)*L76</f>
        <v>7.0000000000000007E-2</v>
      </c>
      <c r="O76" s="3034"/>
      <c r="P76" s="250">
        <v>1200404760</v>
      </c>
      <c r="Q76" s="250">
        <v>1200404760</v>
      </c>
      <c r="R76" s="853">
        <v>89826500</v>
      </c>
      <c r="S76" s="853">
        <v>21445500</v>
      </c>
      <c r="T76" s="886">
        <f t="shared" ref="T76:U78" si="41">+IF(Q76=0,0,R76/Q76)</f>
        <v>7.4830176448150709E-2</v>
      </c>
      <c r="U76" s="886">
        <f t="shared" si="41"/>
        <v>0.23874357789739109</v>
      </c>
      <c r="V76" s="856">
        <v>45318</v>
      </c>
      <c r="W76" s="856">
        <v>45657</v>
      </c>
      <c r="X76" s="857" t="s">
        <v>878</v>
      </c>
      <c r="Y76" s="3038"/>
    </row>
    <row r="77" spans="1:25" ht="66">
      <c r="A77" s="2926"/>
      <c r="B77" s="226"/>
      <c r="C77" s="2926"/>
      <c r="D77" s="3033"/>
      <c r="E77" s="212" t="s">
        <v>879</v>
      </c>
      <c r="F77" s="555"/>
      <c r="G77" s="3033"/>
      <c r="H77" s="2928"/>
      <c r="I77" s="213" t="s">
        <v>880</v>
      </c>
      <c r="J77" s="213" t="s">
        <v>556</v>
      </c>
      <c r="K77" s="807">
        <v>3</v>
      </c>
      <c r="L77" s="805">
        <v>0.25</v>
      </c>
      <c r="M77" s="857">
        <v>0</v>
      </c>
      <c r="N77" s="854">
        <f t="shared" si="40"/>
        <v>0</v>
      </c>
      <c r="O77" s="3034"/>
      <c r="P77" s="250">
        <v>285600000</v>
      </c>
      <c r="Q77" s="250">
        <v>285600000</v>
      </c>
      <c r="R77" s="853">
        <v>37964500</v>
      </c>
      <c r="S77" s="853">
        <v>13886000</v>
      </c>
      <c r="T77" s="886">
        <f t="shared" si="41"/>
        <v>0.13292892156862746</v>
      </c>
      <c r="U77" s="886">
        <f t="shared" si="41"/>
        <v>0.36576275204467329</v>
      </c>
      <c r="V77" s="856">
        <v>45354</v>
      </c>
      <c r="W77" s="856">
        <v>45657</v>
      </c>
      <c r="X77" s="857" t="s">
        <v>881</v>
      </c>
      <c r="Y77" s="3038"/>
    </row>
    <row r="78" spans="1:25" ht="39.6">
      <c r="A78" s="2926"/>
      <c r="B78" s="226"/>
      <c r="C78" s="2926"/>
      <c r="D78" s="3033"/>
      <c r="E78" s="212" t="s">
        <v>882</v>
      </c>
      <c r="F78" s="555"/>
      <c r="G78" s="3033"/>
      <c r="H78" s="2928"/>
      <c r="I78" s="213" t="s">
        <v>883</v>
      </c>
      <c r="J78" s="213" t="s">
        <v>765</v>
      </c>
      <c r="K78" s="807">
        <v>500</v>
      </c>
      <c r="L78" s="805">
        <v>0.25</v>
      </c>
      <c r="M78" s="857">
        <v>0</v>
      </c>
      <c r="N78" s="854">
        <f t="shared" si="40"/>
        <v>0</v>
      </c>
      <c r="O78" s="3034"/>
      <c r="P78" s="853">
        <v>67107000</v>
      </c>
      <c r="Q78" s="853">
        <v>67107000</v>
      </c>
      <c r="R78" s="853">
        <v>0</v>
      </c>
      <c r="S78" s="853">
        <v>0</v>
      </c>
      <c r="T78" s="886">
        <f t="shared" si="41"/>
        <v>0</v>
      </c>
      <c r="U78" s="886">
        <f t="shared" si="41"/>
        <v>0</v>
      </c>
      <c r="V78" s="857"/>
      <c r="W78" s="857"/>
      <c r="X78" s="857" t="s">
        <v>884</v>
      </c>
      <c r="Y78" s="3039"/>
    </row>
    <row r="79" spans="1:25" ht="41.4">
      <c r="A79" s="844"/>
      <c r="B79" s="851">
        <v>53010010004</v>
      </c>
      <c r="C79" s="851" t="s">
        <v>117</v>
      </c>
      <c r="D79" s="846" t="s">
        <v>885</v>
      </c>
      <c r="E79" s="846"/>
      <c r="F79" s="845"/>
      <c r="G79" s="845"/>
      <c r="H79" s="845"/>
      <c r="I79" s="846"/>
      <c r="J79" s="846"/>
      <c r="K79" s="844"/>
      <c r="L79" s="846"/>
      <c r="M79" s="846"/>
      <c r="N79" s="867"/>
      <c r="O79" s="867"/>
      <c r="P79" s="847"/>
      <c r="Q79" s="847"/>
      <c r="R79" s="847"/>
      <c r="S79" s="847"/>
      <c r="T79" s="891"/>
      <c r="U79" s="891"/>
      <c r="V79" s="850"/>
      <c r="W79" s="846"/>
      <c r="X79" s="846"/>
      <c r="Y79" s="844"/>
    </row>
    <row r="80" spans="1:25">
      <c r="A80" s="2926">
        <v>4133</v>
      </c>
      <c r="B80" s="226"/>
      <c r="C80" s="2926" t="s">
        <v>123</v>
      </c>
      <c r="D80" s="3033" t="s">
        <v>886</v>
      </c>
      <c r="E80" s="212" t="s">
        <v>887</v>
      </c>
      <c r="F80" s="555"/>
      <c r="G80" s="549"/>
      <c r="H80" s="808"/>
      <c r="I80" s="549"/>
      <c r="J80" s="555"/>
      <c r="K80" s="807">
        <v>2230</v>
      </c>
      <c r="L80" s="805">
        <f>SUM(L81:L84)</f>
        <v>1</v>
      </c>
      <c r="M80" s="857"/>
      <c r="N80" s="855">
        <f>SUM(N81:N84)</f>
        <v>0</v>
      </c>
      <c r="O80" s="3034">
        <f>IF(Q80&gt;0,N80,"na")</f>
        <v>0</v>
      </c>
      <c r="P80" s="853">
        <f>SUM(P81:P84)</f>
        <v>4394697565</v>
      </c>
      <c r="Q80" s="853">
        <f t="shared" ref="Q80:S80" si="42">SUM(Q81:Q84)</f>
        <v>4394697565</v>
      </c>
      <c r="R80" s="853">
        <f t="shared" si="42"/>
        <v>1102469216</v>
      </c>
      <c r="S80" s="853">
        <f t="shared" si="42"/>
        <v>145047500</v>
      </c>
      <c r="T80" s="886">
        <f>+IF(Q80=0,0,R80/Q80)</f>
        <v>0.25086350077425634</v>
      </c>
      <c r="U80" s="886">
        <f>+IF(R80=0,0,S80/R80)</f>
        <v>0.13156603186278898</v>
      </c>
      <c r="V80" s="856"/>
      <c r="W80" s="857"/>
      <c r="X80" s="857"/>
      <c r="Y80" s="3037" t="s">
        <v>759</v>
      </c>
    </row>
    <row r="81" spans="1:25" ht="66" customHeight="1">
      <c r="A81" s="2926"/>
      <c r="B81" s="226"/>
      <c r="C81" s="2926"/>
      <c r="D81" s="3033"/>
      <c r="E81" s="212" t="s">
        <v>888</v>
      </c>
      <c r="F81" s="555"/>
      <c r="G81" s="3033" t="s">
        <v>889</v>
      </c>
      <c r="H81" s="3036"/>
      <c r="I81" s="213" t="s">
        <v>890</v>
      </c>
      <c r="J81" s="213" t="s">
        <v>891</v>
      </c>
      <c r="K81" s="807">
        <v>2230</v>
      </c>
      <c r="L81" s="805">
        <v>0.89</v>
      </c>
      <c r="M81" s="857">
        <v>0</v>
      </c>
      <c r="N81" s="854">
        <f t="shared" ref="N81:N84" si="43">(M81/K81)*L81</f>
        <v>0</v>
      </c>
      <c r="O81" s="3034"/>
      <c r="P81" s="557">
        <v>3879514258</v>
      </c>
      <c r="Q81" s="557">
        <v>3879514258</v>
      </c>
      <c r="R81" s="853">
        <v>1080912216</v>
      </c>
      <c r="S81" s="853">
        <v>138390500</v>
      </c>
      <c r="T81" s="886">
        <f t="shared" ref="T81:U84" si="44">+IF(Q81=0,0,R81/Q81)</f>
        <v>0.27862050352593393</v>
      </c>
      <c r="U81" s="886">
        <f t="shared" si="44"/>
        <v>0.12803121100076456</v>
      </c>
      <c r="V81" s="856">
        <v>45311</v>
      </c>
      <c r="W81" s="856">
        <v>45657</v>
      </c>
      <c r="X81" s="857" t="s">
        <v>892</v>
      </c>
      <c r="Y81" s="3038"/>
    </row>
    <row r="82" spans="1:25" ht="52.8">
      <c r="A82" s="2926"/>
      <c r="B82" s="226"/>
      <c r="C82" s="2926"/>
      <c r="D82" s="3033"/>
      <c r="E82" s="212" t="s">
        <v>893</v>
      </c>
      <c r="F82" s="555"/>
      <c r="G82" s="3033"/>
      <c r="H82" s="3036"/>
      <c r="I82" s="213" t="s">
        <v>894</v>
      </c>
      <c r="J82" s="213" t="s">
        <v>556</v>
      </c>
      <c r="K82" s="807">
        <v>1</v>
      </c>
      <c r="L82" s="805">
        <v>0.04</v>
      </c>
      <c r="M82" s="857">
        <v>0</v>
      </c>
      <c r="N82" s="854">
        <f t="shared" si="43"/>
        <v>0</v>
      </c>
      <c r="O82" s="3034"/>
      <c r="P82" s="557">
        <v>213800000</v>
      </c>
      <c r="Q82" s="557">
        <v>213800000</v>
      </c>
      <c r="R82" s="853">
        <v>0</v>
      </c>
      <c r="S82" s="853">
        <v>0</v>
      </c>
      <c r="T82" s="886">
        <f t="shared" si="44"/>
        <v>0</v>
      </c>
      <c r="U82" s="886">
        <f t="shared" si="44"/>
        <v>0</v>
      </c>
      <c r="V82" s="857"/>
      <c r="W82" s="857"/>
      <c r="X82" s="857" t="s">
        <v>895</v>
      </c>
      <c r="Y82" s="3038"/>
    </row>
    <row r="83" spans="1:25" ht="52.8">
      <c r="A83" s="2926"/>
      <c r="B83" s="226"/>
      <c r="C83" s="2926"/>
      <c r="D83" s="3033"/>
      <c r="E83" s="212" t="s">
        <v>896</v>
      </c>
      <c r="F83" s="555"/>
      <c r="G83" s="3033"/>
      <c r="H83" s="3036"/>
      <c r="I83" s="213" t="s">
        <v>897</v>
      </c>
      <c r="J83" s="213" t="s">
        <v>898</v>
      </c>
      <c r="K83" s="807">
        <v>2</v>
      </c>
      <c r="L83" s="805">
        <v>0.04</v>
      </c>
      <c r="M83" s="857">
        <v>0</v>
      </c>
      <c r="N83" s="854">
        <f t="shared" si="43"/>
        <v>0</v>
      </c>
      <c r="O83" s="3034"/>
      <c r="P83" s="557">
        <v>202680000</v>
      </c>
      <c r="Q83" s="557">
        <v>202680000</v>
      </c>
      <c r="R83" s="853">
        <v>21557000</v>
      </c>
      <c r="S83" s="853">
        <v>6657000</v>
      </c>
      <c r="T83" s="886">
        <f t="shared" si="44"/>
        <v>0.1063597789619104</v>
      </c>
      <c r="U83" s="886">
        <f t="shared" si="44"/>
        <v>0.30880920350698149</v>
      </c>
      <c r="V83" s="856">
        <v>45354</v>
      </c>
      <c r="W83" s="856">
        <v>45657</v>
      </c>
      <c r="X83" s="857" t="s">
        <v>899</v>
      </c>
      <c r="Y83" s="3038"/>
    </row>
    <row r="84" spans="1:25" ht="39.6">
      <c r="A84" s="2926"/>
      <c r="B84" s="226"/>
      <c r="C84" s="2926"/>
      <c r="D84" s="3033"/>
      <c r="E84" s="212" t="s">
        <v>900</v>
      </c>
      <c r="F84" s="555"/>
      <c r="G84" s="3033"/>
      <c r="H84" s="3036"/>
      <c r="I84" s="213" t="s">
        <v>901</v>
      </c>
      <c r="J84" s="213" t="s">
        <v>765</v>
      </c>
      <c r="K84" s="807">
        <v>11350</v>
      </c>
      <c r="L84" s="805">
        <v>0.03</v>
      </c>
      <c r="M84" s="857">
        <v>0</v>
      </c>
      <c r="N84" s="854">
        <f t="shared" si="43"/>
        <v>0</v>
      </c>
      <c r="O84" s="3034"/>
      <c r="P84" s="557">
        <v>98703307</v>
      </c>
      <c r="Q84" s="557">
        <v>98703307</v>
      </c>
      <c r="R84" s="853">
        <v>0</v>
      </c>
      <c r="S84" s="853">
        <v>0</v>
      </c>
      <c r="T84" s="886">
        <f t="shared" si="44"/>
        <v>0</v>
      </c>
      <c r="U84" s="886">
        <f t="shared" si="44"/>
        <v>0</v>
      </c>
      <c r="V84" s="857"/>
      <c r="W84" s="857"/>
      <c r="X84" s="857" t="s">
        <v>902</v>
      </c>
      <c r="Y84" s="3039"/>
    </row>
    <row r="85" spans="1:25" ht="27.6">
      <c r="A85" s="217"/>
      <c r="B85" s="224">
        <v>53010010005</v>
      </c>
      <c r="C85" s="224" t="s">
        <v>117</v>
      </c>
      <c r="D85" s="217" t="s">
        <v>903</v>
      </c>
      <c r="E85" s="217"/>
      <c r="F85" s="222"/>
      <c r="G85" s="217"/>
      <c r="H85" s="222"/>
      <c r="I85" s="811"/>
      <c r="J85" s="811"/>
      <c r="K85" s="246"/>
      <c r="L85" s="247"/>
      <c r="M85" s="846"/>
      <c r="N85" s="867"/>
      <c r="O85" s="867"/>
      <c r="P85" s="809"/>
      <c r="Q85" s="847"/>
      <c r="R85" s="847"/>
      <c r="S85" s="847"/>
      <c r="T85" s="891"/>
      <c r="U85" s="891"/>
      <c r="V85" s="850"/>
      <c r="W85" s="846"/>
      <c r="X85" s="846"/>
      <c r="Y85" s="846"/>
    </row>
    <row r="86" spans="1:25" ht="14.4" customHeight="1">
      <c r="A86" s="2926">
        <v>4133</v>
      </c>
      <c r="B86" s="226"/>
      <c r="C86" s="2926" t="s">
        <v>123</v>
      </c>
      <c r="D86" s="3033" t="s">
        <v>904</v>
      </c>
      <c r="E86" s="212" t="s">
        <v>905</v>
      </c>
      <c r="F86" s="555"/>
      <c r="G86" s="549"/>
      <c r="H86" s="555"/>
      <c r="I86" s="549"/>
      <c r="J86" s="555"/>
      <c r="K86" s="807">
        <f>K87</f>
        <v>409</v>
      </c>
      <c r="L86" s="805">
        <f>SUM(L87:L87)</f>
        <v>1</v>
      </c>
      <c r="M86" s="857"/>
      <c r="N86" s="855">
        <f>SUM(N87:N87)</f>
        <v>0</v>
      </c>
      <c r="O86" s="3034">
        <f>IF(Q86&gt;0,N86,"na")</f>
        <v>0</v>
      </c>
      <c r="P86" s="853">
        <f>SUM(P87)</f>
        <v>850260980</v>
      </c>
      <c r="Q86" s="853">
        <f t="shared" ref="Q86:S86" si="45">SUM(Q87)</f>
        <v>850260980</v>
      </c>
      <c r="R86" s="853">
        <f t="shared" si="45"/>
        <v>0</v>
      </c>
      <c r="S86" s="853">
        <f t="shared" si="45"/>
        <v>0</v>
      </c>
      <c r="T86" s="886">
        <f>+IF(Q86=0,0,R86/Q86)</f>
        <v>0</v>
      </c>
      <c r="U86" s="886">
        <f>+IF(R86=0,0,S86/R86)</f>
        <v>0</v>
      </c>
      <c r="V86" s="857"/>
      <c r="W86" s="857"/>
      <c r="X86" s="857"/>
      <c r="Y86" s="3037" t="s">
        <v>714</v>
      </c>
    </row>
    <row r="87" spans="1:25" ht="145.19999999999999">
      <c r="A87" s="2926"/>
      <c r="B87" s="226"/>
      <c r="C87" s="2926"/>
      <c r="D87" s="3033"/>
      <c r="E87" s="213" t="s">
        <v>906</v>
      </c>
      <c r="F87" s="555"/>
      <c r="G87" s="213" t="s">
        <v>907</v>
      </c>
      <c r="H87" s="555"/>
      <c r="I87" s="213" t="s">
        <v>908</v>
      </c>
      <c r="J87" s="213" t="s">
        <v>909</v>
      </c>
      <c r="K87" s="807">
        <v>409</v>
      </c>
      <c r="L87" s="805">
        <v>1</v>
      </c>
      <c r="M87" s="857">
        <v>0</v>
      </c>
      <c r="N87" s="854">
        <f t="shared" ref="N87" si="46">(M87/K87)*L87</f>
        <v>0</v>
      </c>
      <c r="O87" s="3034"/>
      <c r="P87" s="812">
        <v>850260980</v>
      </c>
      <c r="Q87" s="812">
        <v>850260980</v>
      </c>
      <c r="R87" s="853">
        <v>0</v>
      </c>
      <c r="S87" s="853">
        <v>0</v>
      </c>
      <c r="T87" s="886">
        <f t="shared" ref="T87:U87" si="47">+IF(Q87=0,0,R87/Q87)</f>
        <v>0</v>
      </c>
      <c r="U87" s="886">
        <f t="shared" si="47"/>
        <v>0</v>
      </c>
      <c r="V87" s="857"/>
      <c r="W87" s="857"/>
      <c r="X87" s="857" t="s">
        <v>910</v>
      </c>
      <c r="Y87" s="3039"/>
    </row>
    <row r="88" spans="1:25" ht="27.6">
      <c r="A88" s="846"/>
      <c r="B88" s="851">
        <v>53010010006</v>
      </c>
      <c r="C88" s="851" t="s">
        <v>117</v>
      </c>
      <c r="D88" s="846" t="s">
        <v>911</v>
      </c>
      <c r="E88" s="845"/>
      <c r="F88" s="846"/>
      <c r="G88" s="846"/>
      <c r="H88" s="846"/>
      <c r="I88" s="846"/>
      <c r="J88" s="846"/>
      <c r="K88" s="846"/>
      <c r="L88" s="846"/>
      <c r="M88" s="846"/>
      <c r="N88" s="867"/>
      <c r="O88" s="867"/>
      <c r="P88" s="847"/>
      <c r="Q88" s="847"/>
      <c r="R88" s="847"/>
      <c r="S88" s="847"/>
      <c r="T88" s="891"/>
      <c r="U88" s="891"/>
      <c r="V88" s="850"/>
      <c r="W88" s="846"/>
      <c r="X88" s="846"/>
      <c r="Y88" s="844"/>
    </row>
    <row r="89" spans="1:25">
      <c r="A89" s="2926">
        <v>4133</v>
      </c>
      <c r="B89" s="226"/>
      <c r="C89" s="2926" t="s">
        <v>123</v>
      </c>
      <c r="D89" s="3033" t="s">
        <v>912</v>
      </c>
      <c r="E89" s="212" t="s">
        <v>913</v>
      </c>
      <c r="F89" s="555"/>
      <c r="G89" s="549"/>
      <c r="H89" s="555"/>
      <c r="I89" s="549"/>
      <c r="J89" s="555"/>
      <c r="K89" s="807">
        <f>K90</f>
        <v>85</v>
      </c>
      <c r="L89" s="805">
        <f>SUM(L90:L91:L92)</f>
        <v>1</v>
      </c>
      <c r="M89" s="857"/>
      <c r="N89" s="855">
        <v>1</v>
      </c>
      <c r="O89" s="3034">
        <f>IF(Q89&gt;0,N89,"na")</f>
        <v>1</v>
      </c>
      <c r="P89" s="853">
        <f>SUM(P90:P92)</f>
        <v>2708329516</v>
      </c>
      <c r="Q89" s="853">
        <f t="shared" ref="Q89:S89" si="48">SUM(Q90:Q92)</f>
        <v>2708329516</v>
      </c>
      <c r="R89" s="853">
        <f t="shared" si="48"/>
        <v>989320223</v>
      </c>
      <c r="S89" s="853">
        <f t="shared" si="48"/>
        <v>5303435</v>
      </c>
      <c r="T89" s="886">
        <f>+IF(Q89=0,0,R89/Q89)</f>
        <v>0.36528798181882682</v>
      </c>
      <c r="U89" s="886">
        <f>+IF(R89=0,0,S89/R89)</f>
        <v>5.3606859303026704E-3</v>
      </c>
      <c r="V89" s="856"/>
      <c r="W89" s="857"/>
      <c r="X89" s="857"/>
      <c r="Y89" s="3037" t="s">
        <v>714</v>
      </c>
    </row>
    <row r="90" spans="1:25" ht="79.2">
      <c r="A90" s="2926"/>
      <c r="B90" s="226"/>
      <c r="C90" s="2926"/>
      <c r="D90" s="3033"/>
      <c r="E90" s="213" t="s">
        <v>914</v>
      </c>
      <c r="F90" s="555"/>
      <c r="G90" s="3033" t="s">
        <v>915</v>
      </c>
      <c r="H90" s="2928"/>
      <c r="I90" s="213" t="s">
        <v>916</v>
      </c>
      <c r="J90" s="212" t="s">
        <v>852</v>
      </c>
      <c r="K90" s="212">
        <v>85</v>
      </c>
      <c r="L90" s="805">
        <v>0.8</v>
      </c>
      <c r="M90" s="857">
        <v>0</v>
      </c>
      <c r="N90" s="854">
        <f t="shared" ref="N90:N92" si="49">(M90/K90)*L90</f>
        <v>0</v>
      </c>
      <c r="O90" s="3034"/>
      <c r="P90" s="557">
        <v>2033236900</v>
      </c>
      <c r="Q90" s="557">
        <v>2033236900</v>
      </c>
      <c r="R90" s="853">
        <v>989320223</v>
      </c>
      <c r="S90" s="853">
        <v>5303435</v>
      </c>
      <c r="T90" s="886">
        <f t="shared" ref="T90:U92" si="50">+IF(Q90=0,0,R90/Q90)</f>
        <v>0.48657400571473003</v>
      </c>
      <c r="U90" s="886">
        <f t="shared" si="50"/>
        <v>5.3606859303026704E-3</v>
      </c>
      <c r="V90" s="856">
        <v>45322</v>
      </c>
      <c r="W90" s="856">
        <v>45657</v>
      </c>
      <c r="X90" s="857" t="s">
        <v>917</v>
      </c>
      <c r="Y90" s="3038"/>
    </row>
    <row r="91" spans="1:25" ht="79.2">
      <c r="A91" s="2926"/>
      <c r="B91" s="226"/>
      <c r="C91" s="2926"/>
      <c r="D91" s="3033"/>
      <c r="E91" s="213" t="s">
        <v>918</v>
      </c>
      <c r="F91" s="226"/>
      <c r="G91" s="3033"/>
      <c r="H91" s="2928"/>
      <c r="I91" s="213" t="s">
        <v>919</v>
      </c>
      <c r="J91" s="212" t="s">
        <v>765</v>
      </c>
      <c r="K91" s="212">
        <v>5530</v>
      </c>
      <c r="L91" s="249">
        <v>0.15</v>
      </c>
      <c r="M91" s="857">
        <v>0</v>
      </c>
      <c r="N91" s="854">
        <f t="shared" si="49"/>
        <v>0</v>
      </c>
      <c r="O91" s="3034"/>
      <c r="P91" s="250">
        <v>525514616</v>
      </c>
      <c r="Q91" s="250">
        <v>525514616</v>
      </c>
      <c r="R91" s="853">
        <v>0</v>
      </c>
      <c r="S91" s="853">
        <v>0</v>
      </c>
      <c r="T91" s="886">
        <f t="shared" si="50"/>
        <v>0</v>
      </c>
      <c r="U91" s="886">
        <f t="shared" si="50"/>
        <v>0</v>
      </c>
      <c r="V91" s="857"/>
      <c r="W91" s="857"/>
      <c r="X91" s="857" t="s">
        <v>920</v>
      </c>
      <c r="Y91" s="3038"/>
    </row>
    <row r="92" spans="1:25" ht="92.4">
      <c r="A92" s="2926"/>
      <c r="B92" s="226"/>
      <c r="C92" s="2926"/>
      <c r="D92" s="3033"/>
      <c r="E92" s="213" t="s">
        <v>921</v>
      </c>
      <c r="F92" s="226"/>
      <c r="G92" s="3033"/>
      <c r="H92" s="2928"/>
      <c r="I92" s="213" t="s">
        <v>922</v>
      </c>
      <c r="J92" s="212" t="s">
        <v>923</v>
      </c>
      <c r="K92" s="212">
        <v>1</v>
      </c>
      <c r="L92" s="249">
        <v>0.05</v>
      </c>
      <c r="M92" s="857">
        <v>0</v>
      </c>
      <c r="N92" s="854">
        <f t="shared" si="49"/>
        <v>0</v>
      </c>
      <c r="O92" s="3034"/>
      <c r="P92" s="250">
        <v>149578000</v>
      </c>
      <c r="Q92" s="250">
        <v>149578000</v>
      </c>
      <c r="R92" s="853">
        <v>0</v>
      </c>
      <c r="S92" s="853">
        <v>0</v>
      </c>
      <c r="T92" s="886">
        <f t="shared" si="50"/>
        <v>0</v>
      </c>
      <c r="U92" s="886">
        <f t="shared" si="50"/>
        <v>0</v>
      </c>
      <c r="V92" s="857"/>
      <c r="W92" s="857"/>
      <c r="X92" s="857" t="s">
        <v>924</v>
      </c>
      <c r="Y92" s="3039"/>
    </row>
    <row r="93" spans="1:25">
      <c r="A93" s="846"/>
      <c r="B93" s="797">
        <v>5301002</v>
      </c>
      <c r="C93" s="797" t="s">
        <v>116</v>
      </c>
      <c r="D93" s="798" t="s">
        <v>925</v>
      </c>
      <c r="E93" s="845"/>
      <c r="F93" s="846"/>
      <c r="G93" s="846"/>
      <c r="H93" s="844"/>
      <c r="I93" s="846"/>
      <c r="J93" s="846"/>
      <c r="K93" s="846"/>
      <c r="L93" s="846"/>
      <c r="M93" s="846"/>
      <c r="N93" s="867"/>
      <c r="O93" s="867"/>
      <c r="P93" s="847"/>
      <c r="Q93" s="847"/>
      <c r="R93" s="847"/>
      <c r="S93" s="847"/>
      <c r="T93" s="891"/>
      <c r="U93" s="891"/>
      <c r="V93" s="850"/>
      <c r="W93" s="846"/>
      <c r="X93" s="846"/>
      <c r="Y93" s="844"/>
    </row>
    <row r="94" spans="1:25" ht="27.6">
      <c r="A94" s="846"/>
      <c r="B94" s="462">
        <v>53010020001</v>
      </c>
      <c r="C94" s="851" t="s">
        <v>117</v>
      </c>
      <c r="D94" s="846" t="s">
        <v>926</v>
      </c>
      <c r="E94" s="845"/>
      <c r="F94" s="846"/>
      <c r="G94" s="846"/>
      <c r="H94" s="844"/>
      <c r="I94" s="846"/>
      <c r="J94" s="846"/>
      <c r="K94" s="846"/>
      <c r="L94" s="846"/>
      <c r="M94" s="846"/>
      <c r="N94" s="867"/>
      <c r="O94" s="867"/>
      <c r="P94" s="847"/>
      <c r="Q94" s="847"/>
      <c r="R94" s="847"/>
      <c r="S94" s="847"/>
      <c r="T94" s="891"/>
      <c r="U94" s="891"/>
      <c r="V94" s="850"/>
      <c r="W94" s="846"/>
      <c r="X94" s="846"/>
      <c r="Y94" s="844"/>
    </row>
    <row r="95" spans="1:25">
      <c r="A95" s="2926">
        <v>4133</v>
      </c>
      <c r="B95" s="226"/>
      <c r="C95" s="2926" t="s">
        <v>123</v>
      </c>
      <c r="D95" s="3033" t="s">
        <v>927</v>
      </c>
      <c r="E95" s="212" t="s">
        <v>928</v>
      </c>
      <c r="F95" s="555"/>
      <c r="G95" s="549"/>
      <c r="H95" s="555"/>
      <c r="I95" s="549"/>
      <c r="J95" s="555"/>
      <c r="K95" s="807">
        <f>K98</f>
        <v>860</v>
      </c>
      <c r="L95" s="805">
        <f>SUM(L96:L98)</f>
        <v>1</v>
      </c>
      <c r="M95" s="857"/>
      <c r="N95" s="855">
        <f>SUM(N96:N98)</f>
        <v>0</v>
      </c>
      <c r="O95" s="3034">
        <f>IF(Q95&gt;0,N95,"na")</f>
        <v>0</v>
      </c>
      <c r="P95" s="853">
        <f>SUM(P96:P98)</f>
        <v>2545000000</v>
      </c>
      <c r="Q95" s="853">
        <f t="shared" ref="Q95:S95" si="51">SUM(Q96:Q98)</f>
        <v>2545000000</v>
      </c>
      <c r="R95" s="853">
        <f t="shared" si="51"/>
        <v>517218500</v>
      </c>
      <c r="S95" s="853">
        <f t="shared" si="51"/>
        <v>166427000</v>
      </c>
      <c r="T95" s="886">
        <f>+IF(Q95=0,0,R95/Q95)</f>
        <v>0.20322927308447938</v>
      </c>
      <c r="U95" s="886">
        <f>+IF(R95=0,0,S95/R95)</f>
        <v>0.3217730997634462</v>
      </c>
      <c r="V95" s="856"/>
      <c r="W95" s="857"/>
      <c r="X95" s="857"/>
      <c r="Y95" s="3037" t="s">
        <v>714</v>
      </c>
    </row>
    <row r="96" spans="1:25" ht="39.6">
      <c r="A96" s="2926"/>
      <c r="B96" s="226"/>
      <c r="C96" s="2926"/>
      <c r="D96" s="3033"/>
      <c r="E96" s="213" t="s">
        <v>929</v>
      </c>
      <c r="F96" s="555"/>
      <c r="G96" s="549"/>
      <c r="H96" s="555"/>
      <c r="I96" s="213" t="s">
        <v>930</v>
      </c>
      <c r="J96" s="213" t="s">
        <v>931</v>
      </c>
      <c r="K96" s="807">
        <v>1024</v>
      </c>
      <c r="L96" s="805">
        <v>0.5</v>
      </c>
      <c r="M96" s="857">
        <v>0</v>
      </c>
      <c r="N96" s="854">
        <f t="shared" ref="N96:N98" si="52">(M96/K96)*L96</f>
        <v>0</v>
      </c>
      <c r="O96" s="3034"/>
      <c r="P96" s="250">
        <v>682340000</v>
      </c>
      <c r="Q96" s="250">
        <v>682340000</v>
      </c>
      <c r="R96" s="853">
        <v>37723000</v>
      </c>
      <c r="S96" s="853">
        <v>0</v>
      </c>
      <c r="T96" s="886">
        <f t="shared" ref="T96:U98" si="53">+IF(Q96=0,0,R96/Q96)</f>
        <v>5.5284755400533458E-2</v>
      </c>
      <c r="U96" s="886">
        <f t="shared" si="53"/>
        <v>0</v>
      </c>
      <c r="V96" s="856">
        <v>45360</v>
      </c>
      <c r="W96" s="856">
        <v>45657</v>
      </c>
      <c r="X96" s="857" t="s">
        <v>932</v>
      </c>
      <c r="Y96" s="3038"/>
    </row>
    <row r="97" spans="1:25" ht="105.6">
      <c r="A97" s="2926"/>
      <c r="B97" s="226"/>
      <c r="C97" s="2926"/>
      <c r="D97" s="3033"/>
      <c r="E97" s="213" t="s">
        <v>933</v>
      </c>
      <c r="F97" s="555"/>
      <c r="G97" s="549"/>
      <c r="H97" s="555"/>
      <c r="I97" s="213" t="s">
        <v>934</v>
      </c>
      <c r="J97" s="213" t="s">
        <v>556</v>
      </c>
      <c r="K97" s="807">
        <v>2</v>
      </c>
      <c r="L97" s="805">
        <v>0.2</v>
      </c>
      <c r="M97" s="857">
        <v>0</v>
      </c>
      <c r="N97" s="854">
        <f t="shared" si="52"/>
        <v>0</v>
      </c>
      <c r="O97" s="3034"/>
      <c r="P97" s="250">
        <v>1317660000</v>
      </c>
      <c r="Q97" s="250">
        <v>1317660000</v>
      </c>
      <c r="R97" s="853">
        <v>479495500</v>
      </c>
      <c r="S97" s="853">
        <v>166427000</v>
      </c>
      <c r="T97" s="886">
        <f t="shared" si="53"/>
        <v>0.36389926081083135</v>
      </c>
      <c r="U97" s="886">
        <f t="shared" si="53"/>
        <v>0.34708772032271418</v>
      </c>
      <c r="V97" s="856">
        <v>45317</v>
      </c>
      <c r="W97" s="856">
        <v>45657</v>
      </c>
      <c r="X97" s="857" t="s">
        <v>935</v>
      </c>
      <c r="Y97" s="3038"/>
    </row>
    <row r="98" spans="1:25" ht="52.8">
      <c r="A98" s="2926"/>
      <c r="B98" s="226"/>
      <c r="C98" s="2926"/>
      <c r="D98" s="3033"/>
      <c r="E98" s="213" t="s">
        <v>936</v>
      </c>
      <c r="F98" s="555"/>
      <c r="G98" s="212" t="s">
        <v>937</v>
      </c>
      <c r="H98" s="555"/>
      <c r="I98" s="213" t="s">
        <v>938</v>
      </c>
      <c r="J98" s="213" t="s">
        <v>939</v>
      </c>
      <c r="K98" s="807">
        <v>860</v>
      </c>
      <c r="L98" s="805">
        <v>0.3</v>
      </c>
      <c r="M98" s="857">
        <v>0</v>
      </c>
      <c r="N98" s="854">
        <f t="shared" si="52"/>
        <v>0</v>
      </c>
      <c r="O98" s="3034"/>
      <c r="P98" s="853">
        <v>545000000</v>
      </c>
      <c r="Q98" s="853">
        <v>545000000</v>
      </c>
      <c r="R98" s="853">
        <v>0</v>
      </c>
      <c r="S98" s="853">
        <v>0</v>
      </c>
      <c r="T98" s="886">
        <f t="shared" si="53"/>
        <v>0</v>
      </c>
      <c r="U98" s="886">
        <f t="shared" si="53"/>
        <v>0</v>
      </c>
      <c r="V98" s="857"/>
      <c r="W98" s="857"/>
      <c r="X98" s="857" t="s">
        <v>940</v>
      </c>
      <c r="Y98" s="3039"/>
    </row>
    <row r="99" spans="1:25">
      <c r="A99" s="846"/>
      <c r="B99" s="462">
        <v>53010020004</v>
      </c>
      <c r="C99" s="851" t="s">
        <v>117</v>
      </c>
      <c r="D99" s="846" t="s">
        <v>941</v>
      </c>
      <c r="E99" s="845"/>
      <c r="F99" s="846"/>
      <c r="G99" s="846"/>
      <c r="H99" s="844"/>
      <c r="I99" s="846"/>
      <c r="J99" s="846"/>
      <c r="K99" s="846"/>
      <c r="L99" s="846"/>
      <c r="M99" s="846"/>
      <c r="N99" s="867"/>
      <c r="O99" s="867"/>
      <c r="P99" s="847"/>
      <c r="Q99" s="847"/>
      <c r="R99" s="847"/>
      <c r="S99" s="847"/>
      <c r="T99" s="891"/>
      <c r="U99" s="891"/>
      <c r="V99" s="850"/>
      <c r="W99" s="846"/>
      <c r="X99" s="846"/>
      <c r="Y99" s="844"/>
    </row>
    <row r="100" spans="1:25">
      <c r="A100" s="2926">
        <v>4133</v>
      </c>
      <c r="B100" s="226"/>
      <c r="C100" s="2926" t="s">
        <v>123</v>
      </c>
      <c r="D100" s="3033" t="s">
        <v>942</v>
      </c>
      <c r="E100" s="212" t="s">
        <v>943</v>
      </c>
      <c r="F100" s="555"/>
      <c r="G100" s="549"/>
      <c r="H100" s="555"/>
      <c r="I100" s="549"/>
      <c r="J100" s="555"/>
      <c r="K100" s="557">
        <f>K101</f>
        <v>53720</v>
      </c>
      <c r="L100" s="805">
        <f>SUM(L101:L102)</f>
        <v>1</v>
      </c>
      <c r="M100" s="857"/>
      <c r="N100" s="855">
        <f>SUM(N101:N102)</f>
        <v>0.17059751126367731</v>
      </c>
      <c r="O100" s="3034">
        <f>IF(Q100&gt;0,N100,"na")</f>
        <v>0.17059751126367731</v>
      </c>
      <c r="P100" s="853">
        <f>SUM(P101:P102)</f>
        <v>835000000</v>
      </c>
      <c r="Q100" s="853">
        <f t="shared" ref="Q100:S100" si="54">SUM(Q101:Q102)</f>
        <v>835000000</v>
      </c>
      <c r="R100" s="853">
        <f t="shared" si="54"/>
        <v>154276500</v>
      </c>
      <c r="S100" s="853">
        <f t="shared" si="54"/>
        <v>30157000</v>
      </c>
      <c r="T100" s="886">
        <f>+IF(Q100=0,0,R100/Q100)</f>
        <v>0.18476227544910179</v>
      </c>
      <c r="U100" s="886">
        <f>+IF(R100=0,0,S100/R100)</f>
        <v>0.19547371116145362</v>
      </c>
      <c r="V100" s="856"/>
      <c r="W100" s="857"/>
      <c r="X100" s="857"/>
      <c r="Y100" s="3037" t="s">
        <v>714</v>
      </c>
    </row>
    <row r="101" spans="1:25" ht="39.6">
      <c r="A101" s="2926"/>
      <c r="B101" s="226"/>
      <c r="C101" s="2926"/>
      <c r="D101" s="3033"/>
      <c r="E101" s="213" t="s">
        <v>944</v>
      </c>
      <c r="F101" s="555"/>
      <c r="G101" s="3033" t="s">
        <v>945</v>
      </c>
      <c r="H101" s="2928"/>
      <c r="I101" s="213" t="s">
        <v>946</v>
      </c>
      <c r="J101" s="213" t="s">
        <v>947</v>
      </c>
      <c r="K101" s="557">
        <v>53720</v>
      </c>
      <c r="L101" s="805">
        <v>0.85</v>
      </c>
      <c r="M101" s="857">
        <v>7836</v>
      </c>
      <c r="N101" s="854">
        <f t="shared" ref="N101:N102" si="55">(M101/K101)*L101</f>
        <v>0.12398734177215189</v>
      </c>
      <c r="O101" s="3034"/>
      <c r="P101" s="812">
        <v>614070800</v>
      </c>
      <c r="Q101" s="812">
        <v>614070800</v>
      </c>
      <c r="R101" s="853">
        <v>133352500</v>
      </c>
      <c r="S101" s="853">
        <v>19695000</v>
      </c>
      <c r="T101" s="886">
        <f t="shared" ref="T101:U102" si="56">+IF(Q101=0,0,R101/Q101)</f>
        <v>0.2171614413191443</v>
      </c>
      <c r="U101" s="886">
        <f t="shared" si="56"/>
        <v>0.14769126938002661</v>
      </c>
      <c r="V101" s="856">
        <v>45317</v>
      </c>
      <c r="W101" s="856">
        <v>45657</v>
      </c>
      <c r="X101" s="857" t="s">
        <v>948</v>
      </c>
      <c r="Y101" s="3038"/>
    </row>
    <row r="102" spans="1:25" ht="79.2">
      <c r="A102" s="2926"/>
      <c r="B102" s="226"/>
      <c r="C102" s="2926"/>
      <c r="D102" s="3033"/>
      <c r="E102" s="213" t="s">
        <v>949</v>
      </c>
      <c r="F102" s="555"/>
      <c r="G102" s="3035"/>
      <c r="H102" s="2928"/>
      <c r="I102" s="213" t="s">
        <v>950</v>
      </c>
      <c r="J102" s="213" t="s">
        <v>765</v>
      </c>
      <c r="K102" s="557">
        <v>5310</v>
      </c>
      <c r="L102" s="805">
        <v>0.15</v>
      </c>
      <c r="M102" s="857">
        <v>1650</v>
      </c>
      <c r="N102" s="854">
        <f t="shared" si="55"/>
        <v>4.6610169491525424E-2</v>
      </c>
      <c r="O102" s="3034"/>
      <c r="P102" s="853">
        <v>220929200</v>
      </c>
      <c r="Q102" s="853">
        <v>220929200</v>
      </c>
      <c r="R102" s="853">
        <v>20924000</v>
      </c>
      <c r="S102" s="853">
        <v>10462000</v>
      </c>
      <c r="T102" s="886">
        <f t="shared" si="56"/>
        <v>9.4709074219252135E-2</v>
      </c>
      <c r="U102" s="886">
        <f t="shared" si="56"/>
        <v>0.5</v>
      </c>
      <c r="V102" s="856">
        <v>45318</v>
      </c>
      <c r="W102" s="856">
        <v>45657</v>
      </c>
      <c r="X102" s="857" t="s">
        <v>951</v>
      </c>
      <c r="Y102" s="3039"/>
    </row>
    <row r="103" spans="1:25">
      <c r="A103" s="846"/>
      <c r="B103" s="797">
        <v>5301003</v>
      </c>
      <c r="C103" s="797" t="s">
        <v>116</v>
      </c>
      <c r="D103" s="798" t="s">
        <v>952</v>
      </c>
      <c r="E103" s="845"/>
      <c r="F103" s="846"/>
      <c r="G103" s="846"/>
      <c r="H103" s="846"/>
      <c r="I103" s="846"/>
      <c r="J103" s="844"/>
      <c r="K103" s="846"/>
      <c r="L103" s="846"/>
      <c r="M103" s="846"/>
      <c r="N103" s="867"/>
      <c r="O103" s="867"/>
      <c r="P103" s="847"/>
      <c r="Q103" s="847"/>
      <c r="R103" s="847"/>
      <c r="S103" s="847"/>
      <c r="T103" s="891"/>
      <c r="U103" s="891"/>
      <c r="V103" s="850"/>
      <c r="W103" s="846"/>
      <c r="X103" s="846"/>
      <c r="Y103" s="844"/>
    </row>
    <row r="104" spans="1:25" ht="27.6">
      <c r="A104" s="846"/>
      <c r="B104" s="455">
        <v>53010030001</v>
      </c>
      <c r="C104" s="844" t="s">
        <v>117</v>
      </c>
      <c r="D104" s="846" t="s">
        <v>953</v>
      </c>
      <c r="E104" s="845"/>
      <c r="F104" s="846"/>
      <c r="G104" s="846"/>
      <c r="H104" s="846"/>
      <c r="I104" s="846"/>
      <c r="J104" s="844"/>
      <c r="K104" s="846"/>
      <c r="L104" s="846"/>
      <c r="M104" s="846"/>
      <c r="N104" s="867"/>
      <c r="O104" s="867"/>
      <c r="P104" s="847"/>
      <c r="Q104" s="847"/>
      <c r="R104" s="847"/>
      <c r="S104" s="847"/>
      <c r="T104" s="891"/>
      <c r="U104" s="891"/>
      <c r="V104" s="850"/>
      <c r="W104" s="846"/>
      <c r="X104" s="846"/>
      <c r="Y104" s="844"/>
    </row>
    <row r="105" spans="1:25">
      <c r="A105" s="2926">
        <v>4133</v>
      </c>
      <c r="B105" s="226"/>
      <c r="C105" s="2926" t="s">
        <v>123</v>
      </c>
      <c r="D105" s="3033" t="s">
        <v>954</v>
      </c>
      <c r="E105" s="212" t="s">
        <v>955</v>
      </c>
      <c r="F105" s="226"/>
      <c r="G105" s="212"/>
      <c r="H105" s="226"/>
      <c r="I105" s="213"/>
      <c r="J105" s="213"/>
      <c r="K105" s="807">
        <v>2</v>
      </c>
      <c r="L105" s="805">
        <f>SUM(L106:L107)</f>
        <v>1</v>
      </c>
      <c r="M105" s="857"/>
      <c r="N105" s="855">
        <f>SUM(N106:N107)</f>
        <v>0</v>
      </c>
      <c r="O105" s="3034">
        <f>IF(Q105&gt;0,N105,"na")</f>
        <v>0</v>
      </c>
      <c r="P105" s="853">
        <f>SUM(P106:P107)</f>
        <v>220000000</v>
      </c>
      <c r="Q105" s="853">
        <f t="shared" ref="Q105:S105" si="57">SUM(Q106:Q107)</f>
        <v>220000000</v>
      </c>
      <c r="R105" s="853">
        <f t="shared" si="57"/>
        <v>76037500</v>
      </c>
      <c r="S105" s="853">
        <f t="shared" si="57"/>
        <v>6560000</v>
      </c>
      <c r="T105" s="886">
        <f>+IF(Q105=0,0,R105/Q105)</f>
        <v>0.34562500000000002</v>
      </c>
      <c r="U105" s="886">
        <f>+IF(R105=0,0,S105/R105)</f>
        <v>8.6273220450435645E-2</v>
      </c>
      <c r="V105" s="856"/>
      <c r="W105" s="857"/>
      <c r="X105" s="857"/>
      <c r="Y105" s="3037" t="s">
        <v>759</v>
      </c>
    </row>
    <row r="106" spans="1:25" ht="66" customHeight="1">
      <c r="A106" s="2926"/>
      <c r="B106" s="226"/>
      <c r="C106" s="2926"/>
      <c r="D106" s="3033"/>
      <c r="E106" s="213" t="s">
        <v>956</v>
      </c>
      <c r="F106" s="226"/>
      <c r="G106" s="3033" t="s">
        <v>957</v>
      </c>
      <c r="H106" s="2926"/>
      <c r="I106" s="213" t="s">
        <v>958</v>
      </c>
      <c r="J106" s="213" t="s">
        <v>959</v>
      </c>
      <c r="K106" s="807">
        <v>1</v>
      </c>
      <c r="L106" s="805">
        <v>0.25</v>
      </c>
      <c r="M106" s="857">
        <v>0</v>
      </c>
      <c r="N106" s="854">
        <f t="shared" ref="N106:N107" si="58">(M106/K106)*L106</f>
        <v>0</v>
      </c>
      <c r="O106" s="3034"/>
      <c r="P106" s="557">
        <v>66870000</v>
      </c>
      <c r="Q106" s="557">
        <v>66870000</v>
      </c>
      <c r="R106" s="853">
        <v>28770500</v>
      </c>
      <c r="S106" s="853">
        <v>0</v>
      </c>
      <c r="T106" s="886">
        <f t="shared" ref="T106:U107" si="59">+IF(Q106=0,0,R106/Q106)</f>
        <v>0.43024525198145658</v>
      </c>
      <c r="U106" s="886">
        <f t="shared" si="59"/>
        <v>0</v>
      </c>
      <c r="V106" s="856">
        <v>45361</v>
      </c>
      <c r="W106" s="856">
        <v>45657</v>
      </c>
      <c r="X106" s="857" t="s">
        <v>960</v>
      </c>
      <c r="Y106" s="3038"/>
    </row>
    <row r="107" spans="1:25" ht="79.2">
      <c r="A107" s="2926"/>
      <c r="B107" s="226"/>
      <c r="C107" s="2926"/>
      <c r="D107" s="3033"/>
      <c r="E107" s="213" t="s">
        <v>961</v>
      </c>
      <c r="F107" s="226"/>
      <c r="G107" s="3033"/>
      <c r="H107" s="2926"/>
      <c r="I107" s="213" t="s">
        <v>962</v>
      </c>
      <c r="J107" s="213" t="s">
        <v>959</v>
      </c>
      <c r="K107" s="807">
        <v>2</v>
      </c>
      <c r="L107" s="805">
        <v>0.75</v>
      </c>
      <c r="M107" s="857">
        <v>0</v>
      </c>
      <c r="N107" s="854">
        <f t="shared" si="58"/>
        <v>0</v>
      </c>
      <c r="O107" s="3034"/>
      <c r="P107" s="557">
        <v>153130000</v>
      </c>
      <c r="Q107" s="557">
        <v>153130000</v>
      </c>
      <c r="R107" s="853">
        <v>47267000</v>
      </c>
      <c r="S107" s="853">
        <v>6560000</v>
      </c>
      <c r="T107" s="886">
        <f t="shared" si="59"/>
        <v>0.3086723698817998</v>
      </c>
      <c r="U107" s="886">
        <f t="shared" si="59"/>
        <v>0.13878604523240315</v>
      </c>
      <c r="V107" s="856">
        <v>45319</v>
      </c>
      <c r="W107" s="856">
        <v>45657</v>
      </c>
      <c r="X107" s="857" t="s">
        <v>963</v>
      </c>
      <c r="Y107" s="3039"/>
    </row>
    <row r="108" spans="1:25" ht="41.4">
      <c r="A108" s="846"/>
      <c r="B108" s="844">
        <v>53010030002</v>
      </c>
      <c r="C108" s="844" t="s">
        <v>117</v>
      </c>
      <c r="D108" s="846" t="s">
        <v>964</v>
      </c>
      <c r="E108" s="845"/>
      <c r="F108" s="846"/>
      <c r="G108" s="846"/>
      <c r="H108" s="846"/>
      <c r="I108" s="846"/>
      <c r="J108" s="844"/>
      <c r="K108" s="846"/>
      <c r="L108" s="846"/>
      <c r="M108" s="846"/>
      <c r="N108" s="867"/>
      <c r="O108" s="867"/>
      <c r="P108" s="847"/>
      <c r="Q108" s="847"/>
      <c r="R108" s="847"/>
      <c r="S108" s="847"/>
      <c r="T108" s="891"/>
      <c r="U108" s="891"/>
      <c r="V108" s="850"/>
      <c r="W108" s="846"/>
      <c r="X108" s="846"/>
      <c r="Y108" s="844"/>
    </row>
    <row r="109" spans="1:25">
      <c r="A109" s="2926">
        <v>4133</v>
      </c>
      <c r="B109" s="226"/>
      <c r="C109" s="2926" t="s">
        <v>123</v>
      </c>
      <c r="D109" s="3033" t="s">
        <v>965</v>
      </c>
      <c r="E109" s="212" t="s">
        <v>966</v>
      </c>
      <c r="F109" s="226"/>
      <c r="G109" s="212"/>
      <c r="H109" s="813"/>
      <c r="I109" s="213"/>
      <c r="J109" s="213"/>
      <c r="K109" s="807">
        <v>25</v>
      </c>
      <c r="L109" s="805">
        <f>SUM(L110:L111)</f>
        <v>1</v>
      </c>
      <c r="M109" s="857"/>
      <c r="N109" s="855">
        <f>SUM(N110:N111)</f>
        <v>0.32500000000000001</v>
      </c>
      <c r="O109" s="3034">
        <f>IF(Q109&gt;0,N109,"na")</f>
        <v>0.32500000000000001</v>
      </c>
      <c r="P109" s="853">
        <f>SUM(P110:P111)</f>
        <v>620000000</v>
      </c>
      <c r="Q109" s="853">
        <f t="shared" ref="Q109:S109" si="60">SUM(Q110:Q111)</f>
        <v>620000000</v>
      </c>
      <c r="R109" s="853">
        <f t="shared" si="60"/>
        <v>251131500</v>
      </c>
      <c r="S109" s="853">
        <f t="shared" si="60"/>
        <v>142499500</v>
      </c>
      <c r="T109" s="886">
        <f>+IF(Q109=0,0,R109/Q109)</f>
        <v>0.4050508064516129</v>
      </c>
      <c r="U109" s="886">
        <f>+IF(R109=0,0,S109/R109)</f>
        <v>0.5674298126678653</v>
      </c>
      <c r="V109" s="856"/>
      <c r="W109" s="857"/>
      <c r="X109" s="857"/>
      <c r="Y109" s="3037" t="s">
        <v>714</v>
      </c>
    </row>
    <row r="110" spans="1:25" ht="211.2">
      <c r="A110" s="2926"/>
      <c r="B110" s="226"/>
      <c r="C110" s="2926"/>
      <c r="D110" s="3033"/>
      <c r="E110" s="213" t="s">
        <v>967</v>
      </c>
      <c r="F110" s="226"/>
      <c r="G110" s="3033" t="s">
        <v>968</v>
      </c>
      <c r="H110" s="3040"/>
      <c r="I110" s="213" t="s">
        <v>969</v>
      </c>
      <c r="J110" s="213" t="s">
        <v>970</v>
      </c>
      <c r="K110" s="807">
        <v>25</v>
      </c>
      <c r="L110" s="805">
        <v>0.5</v>
      </c>
      <c r="M110" s="857">
        <v>10</v>
      </c>
      <c r="N110" s="854">
        <f t="shared" ref="N110" si="61">(M110/K110)*L110</f>
        <v>0.2</v>
      </c>
      <c r="O110" s="3034"/>
      <c r="P110" s="557">
        <v>407474100</v>
      </c>
      <c r="Q110" s="557">
        <v>407474100</v>
      </c>
      <c r="R110" s="853">
        <v>169960500</v>
      </c>
      <c r="S110" s="853">
        <v>103753500</v>
      </c>
      <c r="T110" s="886">
        <f t="shared" ref="T110:U111" si="62">+IF(Q110=0,0,R110/Q110)</f>
        <v>0.41710749223079452</v>
      </c>
      <c r="U110" s="886">
        <f t="shared" si="62"/>
        <v>0.61045654725656839</v>
      </c>
      <c r="V110" s="856">
        <v>45313</v>
      </c>
      <c r="W110" s="856">
        <v>45657</v>
      </c>
      <c r="X110" s="857" t="s">
        <v>971</v>
      </c>
      <c r="Y110" s="3038"/>
    </row>
    <row r="111" spans="1:25" ht="184.8">
      <c r="A111" s="2926"/>
      <c r="B111" s="226"/>
      <c r="C111" s="2926"/>
      <c r="D111" s="3033"/>
      <c r="E111" s="213" t="s">
        <v>972</v>
      </c>
      <c r="F111" s="226"/>
      <c r="G111" s="3033"/>
      <c r="H111" s="3040"/>
      <c r="I111" s="213" t="s">
        <v>973</v>
      </c>
      <c r="J111" s="213" t="s">
        <v>974</v>
      </c>
      <c r="K111" s="807">
        <v>1</v>
      </c>
      <c r="L111" s="805">
        <v>0.5</v>
      </c>
      <c r="M111" s="857">
        <v>1</v>
      </c>
      <c r="N111" s="854">
        <f>((M111/K111)*L111)/4</f>
        <v>0.125</v>
      </c>
      <c r="O111" s="3034"/>
      <c r="P111" s="557">
        <v>212525900</v>
      </c>
      <c r="Q111" s="557">
        <v>212525900</v>
      </c>
      <c r="R111" s="853">
        <v>81171000</v>
      </c>
      <c r="S111" s="853">
        <v>38746000</v>
      </c>
      <c r="T111" s="886">
        <f t="shared" si="62"/>
        <v>0.38193462537977724</v>
      </c>
      <c r="U111" s="886">
        <f t="shared" si="62"/>
        <v>0.47733796552956104</v>
      </c>
      <c r="V111" s="856">
        <v>45313</v>
      </c>
      <c r="W111" s="856">
        <v>45657</v>
      </c>
      <c r="X111" s="857" t="s">
        <v>975</v>
      </c>
      <c r="Y111" s="3039"/>
    </row>
    <row r="112" spans="1:25" ht="27.6">
      <c r="A112" s="846"/>
      <c r="B112" s="844">
        <v>53010030003</v>
      </c>
      <c r="C112" s="224" t="s">
        <v>117</v>
      </c>
      <c r="D112" s="217" t="s">
        <v>976</v>
      </c>
      <c r="E112" s="845"/>
      <c r="F112" s="846"/>
      <c r="G112" s="846"/>
      <c r="H112" s="846"/>
      <c r="I112" s="846"/>
      <c r="J112" s="844"/>
      <c r="K112" s="846"/>
      <c r="L112" s="846"/>
      <c r="M112" s="846"/>
      <c r="N112" s="867"/>
      <c r="O112" s="867"/>
      <c r="P112" s="847"/>
      <c r="Q112" s="847"/>
      <c r="R112" s="847"/>
      <c r="S112" s="847"/>
      <c r="T112" s="891"/>
      <c r="U112" s="891"/>
      <c r="V112" s="850"/>
      <c r="W112" s="846"/>
      <c r="X112" s="846"/>
      <c r="Y112" s="844"/>
    </row>
    <row r="113" spans="1:25" ht="14.4" customHeight="1">
      <c r="A113" s="2926">
        <v>4133</v>
      </c>
      <c r="B113" s="226"/>
      <c r="C113" s="2926" t="s">
        <v>123</v>
      </c>
      <c r="D113" s="3033" t="s">
        <v>977</v>
      </c>
      <c r="E113" s="212" t="s">
        <v>978</v>
      </c>
      <c r="F113" s="226"/>
      <c r="G113" s="212"/>
      <c r="H113" s="226"/>
      <c r="I113" s="213"/>
      <c r="J113" s="213"/>
      <c r="K113" s="212">
        <f>K114</f>
        <v>1</v>
      </c>
      <c r="L113" s="249">
        <f>SUM(L114)</f>
        <v>1</v>
      </c>
      <c r="M113" s="857"/>
      <c r="N113" s="855">
        <f>SUM(N114)</f>
        <v>0.25</v>
      </c>
      <c r="O113" s="3034">
        <f>IF(Q113&gt;0,N113,"na")</f>
        <v>0.25</v>
      </c>
      <c r="P113" s="853">
        <f>SUM(P114)</f>
        <v>320000000</v>
      </c>
      <c r="Q113" s="853">
        <f t="shared" ref="Q113:S113" si="63">SUM(Q114)</f>
        <v>320000000</v>
      </c>
      <c r="R113" s="853">
        <f t="shared" si="63"/>
        <v>90878000</v>
      </c>
      <c r="S113" s="853">
        <f t="shared" si="63"/>
        <v>36471000</v>
      </c>
      <c r="T113" s="886">
        <f>+IF(Q113=0,0,R113/Q113)</f>
        <v>0.28399374999999999</v>
      </c>
      <c r="U113" s="886">
        <f>+IF(R113=0,0,S113/R113)</f>
        <v>0.4013182508417879</v>
      </c>
      <c r="V113" s="856"/>
      <c r="W113" s="857"/>
      <c r="X113" s="857"/>
      <c r="Y113" s="3037" t="s">
        <v>714</v>
      </c>
    </row>
    <row r="114" spans="1:25" ht="92.4">
      <c r="A114" s="2926"/>
      <c r="B114" s="226"/>
      <c r="C114" s="2926"/>
      <c r="D114" s="3033"/>
      <c r="E114" s="213" t="s">
        <v>979</v>
      </c>
      <c r="F114" s="226"/>
      <c r="G114" s="212" t="s">
        <v>980</v>
      </c>
      <c r="H114" s="226"/>
      <c r="I114" s="213" t="s">
        <v>981</v>
      </c>
      <c r="J114" s="213" t="s">
        <v>982</v>
      </c>
      <c r="K114" s="212">
        <v>1</v>
      </c>
      <c r="L114" s="249">
        <v>1</v>
      </c>
      <c r="M114" s="857">
        <v>1</v>
      </c>
      <c r="N114" s="854">
        <f>((M114/K114)*L114)/4</f>
        <v>0.25</v>
      </c>
      <c r="O114" s="3034"/>
      <c r="P114" s="250">
        <v>320000000</v>
      </c>
      <c r="Q114" s="250">
        <v>320000000</v>
      </c>
      <c r="R114" s="853">
        <v>90878000</v>
      </c>
      <c r="S114" s="853">
        <v>36471000</v>
      </c>
      <c r="T114" s="886">
        <f t="shared" ref="T114:U114" si="64">+IF(Q114=0,0,R114/Q114)</f>
        <v>0.28399374999999999</v>
      </c>
      <c r="U114" s="886">
        <f t="shared" si="64"/>
        <v>0.4013182508417879</v>
      </c>
      <c r="V114" s="856">
        <v>45318</v>
      </c>
      <c r="W114" s="856">
        <v>45657</v>
      </c>
      <c r="X114" s="857" t="s">
        <v>983</v>
      </c>
      <c r="Y114" s="3039"/>
    </row>
    <row r="115" spans="1:25">
      <c r="A115" s="2926">
        <v>4133</v>
      </c>
      <c r="B115" s="226"/>
      <c r="C115" s="2926" t="s">
        <v>123</v>
      </c>
      <c r="D115" s="3033" t="s">
        <v>984</v>
      </c>
      <c r="E115" s="212" t="s">
        <v>985</v>
      </c>
      <c r="F115" s="226"/>
      <c r="G115" s="212"/>
      <c r="H115" s="226"/>
      <c r="I115" s="213"/>
      <c r="J115" s="213"/>
      <c r="K115" s="212">
        <f>K116</f>
        <v>1</v>
      </c>
      <c r="L115" s="249">
        <f>SUM(L116:L117)</f>
        <v>1</v>
      </c>
      <c r="M115" s="857"/>
      <c r="N115" s="855">
        <f>SUM(N116:N117)</f>
        <v>0</v>
      </c>
      <c r="O115" s="3034">
        <f>IF(Q115&gt;0,N115,"na")</f>
        <v>0</v>
      </c>
      <c r="P115" s="853">
        <f>SUM(P116:P117)</f>
        <v>255000000</v>
      </c>
      <c r="Q115" s="853">
        <f t="shared" ref="Q115:S115" si="65">SUM(Q116:Q117)</f>
        <v>255000000</v>
      </c>
      <c r="R115" s="853">
        <f t="shared" si="65"/>
        <v>72077000</v>
      </c>
      <c r="S115" s="853">
        <f t="shared" si="65"/>
        <v>27484000</v>
      </c>
      <c r="T115" s="886">
        <f>+IF(Q115=0,0,R115/Q115)</f>
        <v>0.2826549019607843</v>
      </c>
      <c r="U115" s="886">
        <f>+IF(R115=0,0,S115/R115)</f>
        <v>0.38131442762601109</v>
      </c>
      <c r="V115" s="856"/>
      <c r="W115" s="857"/>
      <c r="X115" s="857"/>
      <c r="Y115" s="3037" t="s">
        <v>714</v>
      </c>
    </row>
    <row r="116" spans="1:25" ht="52.8">
      <c r="A116" s="2926"/>
      <c r="B116" s="226"/>
      <c r="C116" s="2926"/>
      <c r="D116" s="3033"/>
      <c r="E116" s="213" t="s">
        <v>986</v>
      </c>
      <c r="F116" s="226"/>
      <c r="G116" s="3033" t="s">
        <v>980</v>
      </c>
      <c r="H116" s="2926"/>
      <c r="I116" s="213" t="s">
        <v>987</v>
      </c>
      <c r="J116" s="213" t="s">
        <v>988</v>
      </c>
      <c r="K116" s="212">
        <v>1</v>
      </c>
      <c r="L116" s="249">
        <v>0.7</v>
      </c>
      <c r="M116" s="857">
        <v>0</v>
      </c>
      <c r="N116" s="854">
        <f t="shared" ref="N116:N117" si="66">(M116/K116)*L116</f>
        <v>0</v>
      </c>
      <c r="O116" s="3034"/>
      <c r="P116" s="250">
        <v>225486000</v>
      </c>
      <c r="Q116" s="250">
        <v>225486000</v>
      </c>
      <c r="R116" s="853">
        <v>72077000</v>
      </c>
      <c r="S116" s="853">
        <v>27484000</v>
      </c>
      <c r="T116" s="886">
        <f t="shared" ref="T116:U117" si="67">+IF(Q116=0,0,R116/Q116)</f>
        <v>0.31965177438954079</v>
      </c>
      <c r="U116" s="886">
        <f t="shared" si="67"/>
        <v>0.38131442762601109</v>
      </c>
      <c r="V116" s="856">
        <v>45316</v>
      </c>
      <c r="W116" s="856">
        <v>45657</v>
      </c>
      <c r="X116" s="857" t="s">
        <v>989</v>
      </c>
      <c r="Y116" s="3038"/>
    </row>
    <row r="117" spans="1:25" ht="39.6">
      <c r="A117" s="2926"/>
      <c r="B117" s="226"/>
      <c r="C117" s="2926"/>
      <c r="D117" s="3033"/>
      <c r="E117" s="213" t="s">
        <v>986</v>
      </c>
      <c r="F117" s="226"/>
      <c r="G117" s="3033"/>
      <c r="H117" s="2926"/>
      <c r="I117" s="213" t="s">
        <v>990</v>
      </c>
      <c r="J117" s="213" t="s">
        <v>991</v>
      </c>
      <c r="K117" s="212">
        <v>18</v>
      </c>
      <c r="L117" s="249">
        <v>0.3</v>
      </c>
      <c r="M117" s="857">
        <v>0</v>
      </c>
      <c r="N117" s="854">
        <f t="shared" si="66"/>
        <v>0</v>
      </c>
      <c r="O117" s="3034"/>
      <c r="P117" s="250">
        <v>29514000</v>
      </c>
      <c r="Q117" s="250">
        <v>29514000</v>
      </c>
      <c r="R117" s="853">
        <v>0</v>
      </c>
      <c r="S117" s="853">
        <v>0</v>
      </c>
      <c r="T117" s="886">
        <f t="shared" si="67"/>
        <v>0</v>
      </c>
      <c r="U117" s="886">
        <f t="shared" si="67"/>
        <v>0</v>
      </c>
      <c r="V117" s="857"/>
      <c r="W117" s="857"/>
      <c r="X117" s="857" t="s">
        <v>992</v>
      </c>
      <c r="Y117" s="3039"/>
    </row>
    <row r="118" spans="1:25" ht="41.4">
      <c r="A118" s="846"/>
      <c r="B118" s="844">
        <v>53010030007</v>
      </c>
      <c r="C118" s="844" t="s">
        <v>117</v>
      </c>
      <c r="D118" s="846" t="s">
        <v>993</v>
      </c>
      <c r="E118" s="845"/>
      <c r="F118" s="846"/>
      <c r="G118" s="846"/>
      <c r="H118" s="844"/>
      <c r="I118" s="846"/>
      <c r="J118" s="844"/>
      <c r="K118" s="846"/>
      <c r="L118" s="846"/>
      <c r="M118" s="846"/>
      <c r="N118" s="867"/>
      <c r="O118" s="867"/>
      <c r="P118" s="847"/>
      <c r="Q118" s="847"/>
      <c r="R118" s="847"/>
      <c r="S118" s="847"/>
      <c r="T118" s="891"/>
      <c r="U118" s="891"/>
      <c r="V118" s="850"/>
      <c r="W118" s="846"/>
      <c r="X118" s="846"/>
      <c r="Y118" s="844"/>
    </row>
    <row r="119" spans="1:25">
      <c r="A119" s="2926">
        <v>4133</v>
      </c>
      <c r="B119" s="226"/>
      <c r="C119" s="2926" t="s">
        <v>123</v>
      </c>
      <c r="D119" s="3033" t="s">
        <v>994</v>
      </c>
      <c r="E119" s="212" t="s">
        <v>995</v>
      </c>
      <c r="F119" s="226"/>
      <c r="G119" s="212"/>
      <c r="H119" s="226"/>
      <c r="I119" s="213"/>
      <c r="J119" s="213"/>
      <c r="K119" s="212">
        <f>K121</f>
        <v>1</v>
      </c>
      <c r="L119" s="249">
        <f>SUM(L120:L121)</f>
        <v>1</v>
      </c>
      <c r="M119" s="857"/>
      <c r="N119" s="855">
        <f>SUM(N120:N121)</f>
        <v>0</v>
      </c>
      <c r="O119" s="3034">
        <f>IF(Q119&gt;0,N119,"na")</f>
        <v>0</v>
      </c>
      <c r="P119" s="853">
        <f>SUM(P120:P121)</f>
        <v>210000000</v>
      </c>
      <c r="Q119" s="853">
        <f t="shared" ref="Q119:S119" si="68">SUM(Q120:Q121)</f>
        <v>210000000</v>
      </c>
      <c r="R119" s="853">
        <f t="shared" si="68"/>
        <v>44779500</v>
      </c>
      <c r="S119" s="853">
        <f t="shared" si="68"/>
        <v>0</v>
      </c>
      <c r="T119" s="886">
        <f>+IF(Q119=0,0,R119/Q119)</f>
        <v>0.21323571428571428</v>
      </c>
      <c r="U119" s="886">
        <f>+IF(R119=0,0,S119/R119)</f>
        <v>0</v>
      </c>
      <c r="V119" s="856"/>
      <c r="W119" s="857"/>
      <c r="X119" s="857"/>
      <c r="Y119" s="3037" t="s">
        <v>759</v>
      </c>
    </row>
    <row r="120" spans="1:25" ht="66" customHeight="1">
      <c r="A120" s="2926"/>
      <c r="B120" s="226"/>
      <c r="C120" s="2926"/>
      <c r="D120" s="3033"/>
      <c r="E120" s="213" t="s">
        <v>996</v>
      </c>
      <c r="F120" s="226"/>
      <c r="G120" s="3033" t="s">
        <v>997</v>
      </c>
      <c r="H120" s="2926"/>
      <c r="I120" s="213" t="s">
        <v>998</v>
      </c>
      <c r="J120" s="213" t="s">
        <v>999</v>
      </c>
      <c r="K120" s="212">
        <v>2</v>
      </c>
      <c r="L120" s="249">
        <v>0.24</v>
      </c>
      <c r="M120" s="857">
        <v>0</v>
      </c>
      <c r="N120" s="854">
        <f t="shared" ref="N120:N121" si="69">(M120/K120)*L120</f>
        <v>0</v>
      </c>
      <c r="O120" s="3034"/>
      <c r="P120" s="250">
        <v>50062000</v>
      </c>
      <c r="Q120" s="250">
        <v>50062000</v>
      </c>
      <c r="R120" s="853">
        <v>5469000</v>
      </c>
      <c r="S120" s="853">
        <v>0</v>
      </c>
      <c r="T120" s="886">
        <f t="shared" ref="T120:U121" si="70">+IF(Q120=0,0,R120/Q120)</f>
        <v>0.10924453677439974</v>
      </c>
      <c r="U120" s="886">
        <f t="shared" si="70"/>
        <v>0</v>
      </c>
      <c r="V120" s="856">
        <v>45353</v>
      </c>
      <c r="W120" s="856">
        <v>45657</v>
      </c>
      <c r="X120" s="857" t="s">
        <v>1000</v>
      </c>
      <c r="Y120" s="3038"/>
    </row>
    <row r="121" spans="1:25" ht="66">
      <c r="A121" s="2926"/>
      <c r="B121" s="226"/>
      <c r="C121" s="2926"/>
      <c r="D121" s="3033"/>
      <c r="E121" s="213" t="s">
        <v>1001</v>
      </c>
      <c r="F121" s="226"/>
      <c r="G121" s="3033"/>
      <c r="H121" s="2926"/>
      <c r="I121" s="213" t="s">
        <v>1002</v>
      </c>
      <c r="J121" s="213" t="s">
        <v>1003</v>
      </c>
      <c r="K121" s="212">
        <v>1</v>
      </c>
      <c r="L121" s="249">
        <v>0.76</v>
      </c>
      <c r="M121" s="857">
        <v>0</v>
      </c>
      <c r="N121" s="854">
        <f t="shared" si="69"/>
        <v>0</v>
      </c>
      <c r="O121" s="3034"/>
      <c r="P121" s="250">
        <v>159938000</v>
      </c>
      <c r="Q121" s="250">
        <v>159938000</v>
      </c>
      <c r="R121" s="853">
        <v>39310500</v>
      </c>
      <c r="S121" s="853">
        <v>0</v>
      </c>
      <c r="T121" s="886">
        <f t="shared" si="70"/>
        <v>0.2457858670234716</v>
      </c>
      <c r="U121" s="886">
        <f t="shared" si="70"/>
        <v>0</v>
      </c>
      <c r="V121" s="856">
        <v>45361</v>
      </c>
      <c r="W121" s="856">
        <v>45657</v>
      </c>
      <c r="X121" s="857" t="s">
        <v>1004</v>
      </c>
      <c r="Y121" s="3039"/>
    </row>
    <row r="122" spans="1:25">
      <c r="A122" s="458"/>
      <c r="B122" s="455">
        <v>5301004</v>
      </c>
      <c r="C122" s="455" t="s">
        <v>116</v>
      </c>
      <c r="D122" s="458" t="s">
        <v>1005</v>
      </c>
      <c r="E122" s="450"/>
      <c r="F122" s="458"/>
      <c r="G122" s="458"/>
      <c r="H122" s="458"/>
      <c r="I122" s="458"/>
      <c r="J122" s="455"/>
      <c r="K122" s="458"/>
      <c r="L122" s="458"/>
      <c r="M122" s="458"/>
      <c r="N122" s="870"/>
      <c r="O122" s="870"/>
      <c r="P122" s="451"/>
      <c r="Q122" s="451"/>
      <c r="R122" s="451"/>
      <c r="S122" s="451"/>
      <c r="T122" s="892"/>
      <c r="U122" s="892"/>
      <c r="V122" s="871"/>
      <c r="W122" s="458"/>
      <c r="X122" s="458"/>
      <c r="Y122" s="455"/>
    </row>
    <row r="123" spans="1:25">
      <c r="A123" s="846"/>
      <c r="B123" s="455">
        <v>53010040001</v>
      </c>
      <c r="C123" s="844" t="s">
        <v>117</v>
      </c>
      <c r="D123" s="846" t="s">
        <v>1006</v>
      </c>
      <c r="E123" s="845"/>
      <c r="F123" s="846"/>
      <c r="G123" s="846"/>
      <c r="H123" s="846"/>
      <c r="I123" s="846"/>
      <c r="J123" s="844"/>
      <c r="K123" s="846"/>
      <c r="L123" s="846"/>
      <c r="M123" s="846"/>
      <c r="N123" s="867"/>
      <c r="O123" s="867"/>
      <c r="P123" s="847"/>
      <c r="Q123" s="847"/>
      <c r="R123" s="847"/>
      <c r="S123" s="847"/>
      <c r="T123" s="891"/>
      <c r="U123" s="891"/>
      <c r="V123" s="850"/>
      <c r="W123" s="846"/>
      <c r="X123" s="846"/>
      <c r="Y123" s="844"/>
    </row>
    <row r="124" spans="1:25">
      <c r="A124" s="2926">
        <v>4133</v>
      </c>
      <c r="B124" s="226"/>
      <c r="C124" s="2926" t="s">
        <v>123</v>
      </c>
      <c r="D124" s="3033" t="s">
        <v>1007</v>
      </c>
      <c r="E124" s="212" t="s">
        <v>1008</v>
      </c>
      <c r="F124" s="226"/>
      <c r="G124" s="212"/>
      <c r="H124" s="226"/>
      <c r="I124" s="213"/>
      <c r="J124" s="213"/>
      <c r="K124" s="212">
        <f>K125</f>
        <v>1</v>
      </c>
      <c r="L124" s="249">
        <f>SUM(L125:L126)</f>
        <v>1</v>
      </c>
      <c r="M124" s="857"/>
      <c r="N124" s="855">
        <f>SUM(N125:N126)</f>
        <v>0</v>
      </c>
      <c r="O124" s="3034">
        <f>IF(Q124&gt;0,N124,"na")</f>
        <v>0</v>
      </c>
      <c r="P124" s="853">
        <f>SUM(P125:P126)</f>
        <v>1813368721</v>
      </c>
      <c r="Q124" s="853">
        <f t="shared" ref="Q124:S124" si="71">SUM(Q125:Q126)</f>
        <v>1813368721</v>
      </c>
      <c r="R124" s="853">
        <f t="shared" si="71"/>
        <v>37873000</v>
      </c>
      <c r="S124" s="853">
        <f t="shared" si="71"/>
        <v>15693000</v>
      </c>
      <c r="T124" s="886">
        <f>+IF(Q124=0,0,R124/Q124)</f>
        <v>2.0885438003537725E-2</v>
      </c>
      <c r="U124" s="886">
        <f>+IF(R124=0,0,S124/R124)</f>
        <v>0.41435851398093626</v>
      </c>
      <c r="V124" s="856"/>
      <c r="W124" s="857"/>
      <c r="X124" s="857"/>
      <c r="Y124" s="3037" t="s">
        <v>759</v>
      </c>
    </row>
    <row r="125" spans="1:25" ht="66" customHeight="1">
      <c r="A125" s="2926"/>
      <c r="B125" s="226"/>
      <c r="C125" s="2926"/>
      <c r="D125" s="3033"/>
      <c r="E125" s="213" t="s">
        <v>1009</v>
      </c>
      <c r="F125" s="226"/>
      <c r="G125" s="3033" t="s">
        <v>1010</v>
      </c>
      <c r="H125" s="2926"/>
      <c r="I125" s="213" t="s">
        <v>1011</v>
      </c>
      <c r="J125" s="213" t="s">
        <v>1012</v>
      </c>
      <c r="K125" s="212">
        <v>1</v>
      </c>
      <c r="L125" s="249">
        <v>0.5</v>
      </c>
      <c r="M125" s="857">
        <v>0</v>
      </c>
      <c r="N125" s="854">
        <f t="shared" ref="N125:N126" si="72">(M125/K125)*L125</f>
        <v>0</v>
      </c>
      <c r="O125" s="3034"/>
      <c r="P125" s="250">
        <v>822420747</v>
      </c>
      <c r="Q125" s="250">
        <v>822420747</v>
      </c>
      <c r="R125" s="853">
        <v>0</v>
      </c>
      <c r="S125" s="853">
        <v>0</v>
      </c>
      <c r="T125" s="886">
        <f t="shared" ref="T125:U126" si="73">+IF(Q125=0,0,R125/Q125)</f>
        <v>0</v>
      </c>
      <c r="U125" s="886">
        <f t="shared" si="73"/>
        <v>0</v>
      </c>
      <c r="V125" s="857"/>
      <c r="W125" s="857"/>
      <c r="X125" s="857" t="s">
        <v>1013</v>
      </c>
      <c r="Y125" s="3038"/>
    </row>
    <row r="126" spans="1:25" ht="52.8">
      <c r="A126" s="2926"/>
      <c r="B126" s="226"/>
      <c r="C126" s="2926"/>
      <c r="D126" s="3033"/>
      <c r="E126" s="213" t="s">
        <v>1014</v>
      </c>
      <c r="F126" s="226"/>
      <c r="G126" s="3033"/>
      <c r="H126" s="2926"/>
      <c r="I126" s="213" t="s">
        <v>1015</v>
      </c>
      <c r="J126" s="213" t="s">
        <v>1016</v>
      </c>
      <c r="K126" s="212">
        <v>10000</v>
      </c>
      <c r="L126" s="249">
        <v>0.5</v>
      </c>
      <c r="M126" s="857">
        <v>0</v>
      </c>
      <c r="N126" s="854">
        <f t="shared" si="72"/>
        <v>0</v>
      </c>
      <c r="O126" s="3034"/>
      <c r="P126" s="250">
        <v>990947974</v>
      </c>
      <c r="Q126" s="250">
        <v>990947974</v>
      </c>
      <c r="R126" s="853">
        <v>37873000</v>
      </c>
      <c r="S126" s="853">
        <v>15693000</v>
      </c>
      <c r="T126" s="886">
        <f t="shared" si="73"/>
        <v>3.8218959010657402E-2</v>
      </c>
      <c r="U126" s="886">
        <f t="shared" si="73"/>
        <v>0.41435851398093626</v>
      </c>
      <c r="V126" s="856">
        <v>45354</v>
      </c>
      <c r="W126" s="856">
        <v>45657</v>
      </c>
      <c r="X126" s="857" t="s">
        <v>1017</v>
      </c>
      <c r="Y126" s="3039"/>
    </row>
    <row r="127" spans="1:25">
      <c r="A127" s="872"/>
      <c r="B127" s="873">
        <v>5302</v>
      </c>
      <c r="C127" s="221" t="s">
        <v>115</v>
      </c>
      <c r="D127" s="215" t="s">
        <v>1018</v>
      </c>
      <c r="E127" s="874"/>
      <c r="F127" s="872"/>
      <c r="G127" s="872"/>
      <c r="H127" s="872"/>
      <c r="I127" s="872"/>
      <c r="J127" s="873"/>
      <c r="K127" s="872"/>
      <c r="L127" s="872"/>
      <c r="M127" s="872"/>
      <c r="N127" s="875"/>
      <c r="O127" s="875"/>
      <c r="P127" s="876"/>
      <c r="Q127" s="876"/>
      <c r="R127" s="876"/>
      <c r="S127" s="876"/>
      <c r="T127" s="893"/>
      <c r="U127" s="893"/>
      <c r="V127" s="877"/>
      <c r="W127" s="872"/>
      <c r="X127" s="872"/>
      <c r="Y127" s="873"/>
    </row>
    <row r="128" spans="1:25">
      <c r="A128" s="872"/>
      <c r="B128" s="873">
        <v>5302001</v>
      </c>
      <c r="C128" s="221" t="s">
        <v>116</v>
      </c>
      <c r="D128" s="215" t="s">
        <v>1019</v>
      </c>
      <c r="E128" s="874"/>
      <c r="F128" s="872"/>
      <c r="G128" s="872"/>
      <c r="H128" s="872"/>
      <c r="I128" s="872"/>
      <c r="J128" s="873"/>
      <c r="K128" s="872"/>
      <c r="L128" s="872"/>
      <c r="M128" s="872"/>
      <c r="N128" s="875"/>
      <c r="O128" s="875"/>
      <c r="P128" s="876"/>
      <c r="Q128" s="876"/>
      <c r="R128" s="876"/>
      <c r="S128" s="876"/>
      <c r="T128" s="893"/>
      <c r="U128" s="893"/>
      <c r="V128" s="877"/>
      <c r="W128" s="872"/>
      <c r="X128" s="872"/>
      <c r="Y128" s="873"/>
    </row>
    <row r="129" spans="1:25" ht="41.4">
      <c r="A129" s="857"/>
      <c r="B129" s="858">
        <v>53020010009</v>
      </c>
      <c r="C129" s="224" t="s">
        <v>117</v>
      </c>
      <c r="D129" s="217" t="s">
        <v>1020</v>
      </c>
      <c r="E129" s="878"/>
      <c r="F129" s="857"/>
      <c r="G129" s="857"/>
      <c r="H129" s="857"/>
      <c r="I129" s="857"/>
      <c r="J129" s="858"/>
      <c r="K129" s="857"/>
      <c r="L129" s="857"/>
      <c r="M129" s="857"/>
      <c r="N129" s="855"/>
      <c r="O129" s="855"/>
      <c r="P129" s="853"/>
      <c r="Q129" s="853"/>
      <c r="R129" s="853"/>
      <c r="S129" s="853"/>
      <c r="T129" s="886"/>
      <c r="U129" s="886"/>
      <c r="V129" s="856"/>
      <c r="W129" s="857"/>
      <c r="X129" s="857"/>
      <c r="Y129" s="858"/>
    </row>
    <row r="130" spans="1:25" ht="14.4" customHeight="1">
      <c r="A130" s="2926">
        <v>4133</v>
      </c>
      <c r="B130" s="226"/>
      <c r="C130" s="2926" t="s">
        <v>123</v>
      </c>
      <c r="D130" s="3033" t="s">
        <v>1021</v>
      </c>
      <c r="E130" s="212" t="s">
        <v>1022</v>
      </c>
      <c r="F130" s="226"/>
      <c r="G130" s="212"/>
      <c r="H130" s="226"/>
      <c r="I130" s="213"/>
      <c r="J130" s="213"/>
      <c r="K130" s="212">
        <f>K131</f>
        <v>1053</v>
      </c>
      <c r="L130" s="249">
        <f>SUM(L131:L131)</f>
        <v>1</v>
      </c>
      <c r="M130" s="857"/>
      <c r="N130" s="855">
        <f>SUM(N131:N131)</f>
        <v>7.7872744539411204E-2</v>
      </c>
      <c r="O130" s="3034">
        <f>IF(Q130&gt;0,N130,"na")</f>
        <v>7.7872744539411204E-2</v>
      </c>
      <c r="P130" s="853">
        <f>SUM(P131)</f>
        <v>435000000</v>
      </c>
      <c r="Q130" s="853">
        <f t="shared" ref="Q130:S130" si="74">SUM(Q131)</f>
        <v>435000000</v>
      </c>
      <c r="R130" s="853">
        <f t="shared" si="74"/>
        <v>170773000</v>
      </c>
      <c r="S130" s="853">
        <f t="shared" si="74"/>
        <v>60714000</v>
      </c>
      <c r="T130" s="886">
        <f>+IF(Q130=0,0,R130/Q130)</f>
        <v>0.3925816091954023</v>
      </c>
      <c r="U130" s="886">
        <f>+IF(R130=0,0,S130/R130)</f>
        <v>0.355524585268163</v>
      </c>
      <c r="V130" s="856"/>
      <c r="W130" s="857"/>
      <c r="X130" s="857"/>
      <c r="Y130" s="3037" t="s">
        <v>714</v>
      </c>
    </row>
    <row r="131" spans="1:25" ht="158.4">
      <c r="A131" s="2926"/>
      <c r="B131" s="226"/>
      <c r="C131" s="2926"/>
      <c r="D131" s="3033"/>
      <c r="E131" s="213" t="s">
        <v>1023</v>
      </c>
      <c r="F131" s="226"/>
      <c r="G131" s="213" t="s">
        <v>1024</v>
      </c>
      <c r="H131" s="226"/>
      <c r="I131" s="213" t="s">
        <v>1025</v>
      </c>
      <c r="J131" s="213" t="s">
        <v>1026</v>
      </c>
      <c r="K131" s="212">
        <v>1053</v>
      </c>
      <c r="L131" s="249">
        <v>1</v>
      </c>
      <c r="M131" s="857">
        <v>82</v>
      </c>
      <c r="N131" s="854">
        <f t="shared" ref="N131" si="75">(M131/K131)*L131</f>
        <v>7.7872744539411204E-2</v>
      </c>
      <c r="O131" s="3034"/>
      <c r="P131" s="250">
        <v>435000000</v>
      </c>
      <c r="Q131" s="250">
        <v>435000000</v>
      </c>
      <c r="R131" s="853">
        <v>170773000</v>
      </c>
      <c r="S131" s="853">
        <v>60714000</v>
      </c>
      <c r="T131" s="886">
        <f t="shared" ref="T131:U131" si="76">+IF(Q131=0,0,R131/Q131)</f>
        <v>0.3925816091954023</v>
      </c>
      <c r="U131" s="886">
        <f t="shared" si="76"/>
        <v>0.355524585268163</v>
      </c>
      <c r="V131" s="856">
        <v>45314</v>
      </c>
      <c r="W131" s="856">
        <v>45657</v>
      </c>
      <c r="X131" s="857" t="s">
        <v>1027</v>
      </c>
      <c r="Y131" s="3039"/>
    </row>
    <row r="132" spans="1:25">
      <c r="A132" s="872"/>
      <c r="B132" s="873">
        <v>530203</v>
      </c>
      <c r="C132" s="873" t="s">
        <v>116</v>
      </c>
      <c r="D132" s="872" t="s">
        <v>1028</v>
      </c>
      <c r="E132" s="874"/>
      <c r="F132" s="872"/>
      <c r="G132" s="872"/>
      <c r="H132" s="872"/>
      <c r="I132" s="872"/>
      <c r="J132" s="873"/>
      <c r="K132" s="872"/>
      <c r="L132" s="872"/>
      <c r="M132" s="872"/>
      <c r="N132" s="875"/>
      <c r="O132" s="875"/>
      <c r="P132" s="876"/>
      <c r="Q132" s="876"/>
      <c r="R132" s="876"/>
      <c r="S132" s="876"/>
      <c r="T132" s="893"/>
      <c r="U132" s="893"/>
      <c r="V132" s="877"/>
      <c r="W132" s="872"/>
      <c r="X132" s="872"/>
      <c r="Y132" s="873"/>
    </row>
    <row r="133" spans="1:25" ht="27.6">
      <c r="A133" s="846"/>
      <c r="B133" s="844">
        <v>53020030005</v>
      </c>
      <c r="C133" s="844" t="s">
        <v>117</v>
      </c>
      <c r="D133" s="846" t="s">
        <v>1029</v>
      </c>
      <c r="E133" s="845"/>
      <c r="F133" s="846"/>
      <c r="G133" s="846"/>
      <c r="H133" s="846"/>
      <c r="I133" s="846"/>
      <c r="J133" s="844"/>
      <c r="K133" s="846"/>
      <c r="L133" s="846"/>
      <c r="M133" s="846"/>
      <c r="N133" s="867"/>
      <c r="O133" s="867"/>
      <c r="P133" s="847"/>
      <c r="Q133" s="847"/>
      <c r="R133" s="847"/>
      <c r="S133" s="847"/>
      <c r="T133" s="891"/>
      <c r="U133" s="891"/>
      <c r="V133" s="850"/>
      <c r="W133" s="846"/>
      <c r="X133" s="846"/>
      <c r="Y133" s="844"/>
    </row>
    <row r="134" spans="1:25">
      <c r="A134" s="3041">
        <v>4133</v>
      </c>
      <c r="B134" s="226"/>
      <c r="C134" s="2926" t="s">
        <v>123</v>
      </c>
      <c r="D134" s="3033" t="s">
        <v>1029</v>
      </c>
      <c r="E134" s="880" t="s">
        <v>1030</v>
      </c>
      <c r="F134" s="226"/>
      <c r="G134" s="212"/>
      <c r="H134" s="814"/>
      <c r="I134" s="213"/>
      <c r="J134" s="213"/>
      <c r="K134" s="212">
        <f>K136</f>
        <v>4</v>
      </c>
      <c r="L134" s="249">
        <f>SUM(L135:L136)</f>
        <v>1</v>
      </c>
      <c r="M134" s="857"/>
      <c r="N134" s="855">
        <f>SUM(N135:N136)</f>
        <v>0.23181818181818178</v>
      </c>
      <c r="O134" s="3034">
        <f>IF(Q134&gt;0,N134,"na")</f>
        <v>0.23181818181818178</v>
      </c>
      <c r="P134" s="853">
        <f>SUM(P135:P136)</f>
        <v>144000000</v>
      </c>
      <c r="Q134" s="853">
        <f t="shared" ref="Q134:S134" si="77">SUM(Q135:Q136)</f>
        <v>144000000</v>
      </c>
      <c r="R134" s="853">
        <f t="shared" si="77"/>
        <v>44246500</v>
      </c>
      <c r="S134" s="853">
        <f t="shared" si="77"/>
        <v>16046500</v>
      </c>
      <c r="T134" s="886">
        <f>+IF(Q134=0,0,R134/Q134)</f>
        <v>0.30726736111111114</v>
      </c>
      <c r="U134" s="886">
        <f>+IF(R134=0,0,S134/R134)</f>
        <v>0.36266145344829537</v>
      </c>
      <c r="V134" s="856"/>
      <c r="W134" s="857"/>
      <c r="X134" s="857"/>
      <c r="Y134" s="3037" t="s">
        <v>714</v>
      </c>
    </row>
    <row r="135" spans="1:25" ht="79.2">
      <c r="A135" s="3041"/>
      <c r="B135" s="226"/>
      <c r="C135" s="2926"/>
      <c r="D135" s="3033"/>
      <c r="E135" s="213" t="s">
        <v>1031</v>
      </c>
      <c r="F135" s="879"/>
      <c r="G135" s="3042" t="s">
        <v>1029</v>
      </c>
      <c r="H135" s="3041"/>
      <c r="I135" s="213" t="s">
        <v>1032</v>
      </c>
      <c r="J135" s="213" t="s">
        <v>1033</v>
      </c>
      <c r="K135" s="880">
        <v>11</v>
      </c>
      <c r="L135" s="881">
        <v>0.85</v>
      </c>
      <c r="M135" s="857">
        <v>3</v>
      </c>
      <c r="N135" s="854">
        <f t="shared" ref="N135:N136" si="78">(M135/K135)*L135</f>
        <v>0.23181818181818178</v>
      </c>
      <c r="O135" s="3034"/>
      <c r="P135" s="250">
        <v>110779150</v>
      </c>
      <c r="Q135" s="250">
        <v>110779150</v>
      </c>
      <c r="R135" s="853">
        <v>44246500</v>
      </c>
      <c r="S135" s="853">
        <v>16046500</v>
      </c>
      <c r="T135" s="886">
        <f t="shared" ref="T135:U136" si="79">+IF(Q135=0,0,R135/Q135)</f>
        <v>0.39941180267225374</v>
      </c>
      <c r="U135" s="886">
        <f t="shared" si="79"/>
        <v>0.36266145344829537</v>
      </c>
      <c r="V135" s="856">
        <v>45322</v>
      </c>
      <c r="W135" s="856">
        <v>45657</v>
      </c>
      <c r="X135" s="857" t="s">
        <v>1034</v>
      </c>
      <c r="Y135" s="3038"/>
    </row>
    <row r="136" spans="1:25" ht="79.2">
      <c r="A136" s="3041"/>
      <c r="B136" s="226"/>
      <c r="C136" s="2926"/>
      <c r="D136" s="3033"/>
      <c r="E136" s="213" t="s">
        <v>1035</v>
      </c>
      <c r="F136" s="879"/>
      <c r="G136" s="3042"/>
      <c r="H136" s="3041"/>
      <c r="I136" s="213" t="s">
        <v>1036</v>
      </c>
      <c r="J136" s="213" t="s">
        <v>1037</v>
      </c>
      <c r="K136" s="880">
        <v>4</v>
      </c>
      <c r="L136" s="881">
        <v>0.15</v>
      </c>
      <c r="M136" s="857">
        <v>0</v>
      </c>
      <c r="N136" s="854">
        <f t="shared" si="78"/>
        <v>0</v>
      </c>
      <c r="O136" s="3034"/>
      <c r="P136" s="250">
        <v>33220850</v>
      </c>
      <c r="Q136" s="250">
        <v>33220850</v>
      </c>
      <c r="R136" s="853">
        <v>0</v>
      </c>
      <c r="S136" s="853">
        <v>0</v>
      </c>
      <c r="T136" s="886">
        <f t="shared" si="79"/>
        <v>0</v>
      </c>
      <c r="U136" s="886">
        <f t="shared" si="79"/>
        <v>0</v>
      </c>
      <c r="V136" s="857"/>
      <c r="W136" s="857"/>
      <c r="X136" s="857" t="s">
        <v>1038</v>
      </c>
      <c r="Y136" s="3039"/>
    </row>
    <row r="137" spans="1:25">
      <c r="A137" s="872"/>
      <c r="B137" s="873">
        <v>53020030006</v>
      </c>
      <c r="C137" s="873" t="s">
        <v>117</v>
      </c>
      <c r="D137" s="872" t="s">
        <v>1039</v>
      </c>
      <c r="E137" s="874"/>
      <c r="F137" s="872"/>
      <c r="G137" s="872"/>
      <c r="H137" s="872"/>
      <c r="I137" s="872"/>
      <c r="J137" s="873"/>
      <c r="K137" s="872"/>
      <c r="L137" s="872"/>
      <c r="M137" s="872"/>
      <c r="N137" s="875"/>
      <c r="O137" s="875"/>
      <c r="P137" s="876"/>
      <c r="Q137" s="876"/>
      <c r="R137" s="876"/>
      <c r="S137" s="876"/>
      <c r="T137" s="893"/>
      <c r="U137" s="893"/>
      <c r="V137" s="877"/>
      <c r="W137" s="872"/>
      <c r="X137" s="872"/>
      <c r="Y137" s="873"/>
    </row>
    <row r="138" spans="1:25">
      <c r="A138" s="2928">
        <v>4133</v>
      </c>
      <c r="B138" s="555"/>
      <c r="C138" s="2928" t="s">
        <v>123</v>
      </c>
      <c r="D138" s="3033" t="s">
        <v>1040</v>
      </c>
      <c r="E138" s="212" t="s">
        <v>1041</v>
      </c>
      <c r="F138" s="226"/>
      <c r="G138" s="212"/>
      <c r="H138" s="226"/>
      <c r="I138" s="213"/>
      <c r="J138" s="213"/>
      <c r="K138" s="212">
        <v>12</v>
      </c>
      <c r="L138" s="249">
        <f>SUM(L139:L140)</f>
        <v>1</v>
      </c>
      <c r="M138" s="857"/>
      <c r="N138" s="855">
        <f>SUM(N139:N140)</f>
        <v>0.15</v>
      </c>
      <c r="O138" s="3034">
        <f>IF(Q138&gt;0,N138,"na")</f>
        <v>0.15</v>
      </c>
      <c r="P138" s="853">
        <f>SUM(P139:P140)</f>
        <v>150000000</v>
      </c>
      <c r="Q138" s="853">
        <f t="shared" ref="Q138:S138" si="80">SUM(Q139:Q140)</f>
        <v>150000000</v>
      </c>
      <c r="R138" s="853">
        <f t="shared" si="80"/>
        <v>69573000</v>
      </c>
      <c r="S138" s="853">
        <f t="shared" si="80"/>
        <v>26155000</v>
      </c>
      <c r="T138" s="886">
        <f>+IF(Q138=0,0,R138/Q138)</f>
        <v>0.46382000000000001</v>
      </c>
      <c r="U138" s="886">
        <f>+IF(R138=0,0,S138/R138)</f>
        <v>0.37593606715248734</v>
      </c>
      <c r="V138" s="856"/>
      <c r="W138" s="857"/>
      <c r="X138" s="857"/>
      <c r="Y138" s="3037" t="s">
        <v>714</v>
      </c>
    </row>
    <row r="139" spans="1:25" ht="66">
      <c r="A139" s="2928"/>
      <c r="B139" s="555"/>
      <c r="C139" s="2928"/>
      <c r="D139" s="3033"/>
      <c r="E139" s="807" t="s">
        <v>1042</v>
      </c>
      <c r="F139" s="226"/>
      <c r="G139" s="212"/>
      <c r="H139" s="226"/>
      <c r="I139" s="213" t="s">
        <v>1043</v>
      </c>
      <c r="J139" s="213" t="s">
        <v>1044</v>
      </c>
      <c r="K139" s="212">
        <v>12</v>
      </c>
      <c r="L139" s="249">
        <v>0.6</v>
      </c>
      <c r="M139" s="857">
        <v>3</v>
      </c>
      <c r="N139" s="854">
        <f t="shared" ref="N139:N140" si="81">(M139/K139)*L139</f>
        <v>0.15</v>
      </c>
      <c r="O139" s="3034"/>
      <c r="P139" s="557">
        <v>101987510</v>
      </c>
      <c r="Q139" s="557">
        <v>101987510</v>
      </c>
      <c r="R139" s="853">
        <v>48649000</v>
      </c>
      <c r="S139" s="853">
        <v>15693000</v>
      </c>
      <c r="T139" s="886">
        <f t="shared" ref="T139:U140" si="82">+IF(Q139=0,0,R139/Q139)</f>
        <v>0.47700939065969938</v>
      </c>
      <c r="U139" s="886">
        <f t="shared" si="82"/>
        <v>0.32257600361775163</v>
      </c>
      <c r="V139" s="856">
        <v>45320</v>
      </c>
      <c r="W139" s="856">
        <v>45657</v>
      </c>
      <c r="X139" s="857" t="s">
        <v>1045</v>
      </c>
      <c r="Y139" s="3038"/>
    </row>
    <row r="140" spans="1:25" ht="66">
      <c r="A140" s="2928"/>
      <c r="B140" s="555"/>
      <c r="C140" s="2928"/>
      <c r="D140" s="3033"/>
      <c r="E140" s="807" t="s">
        <v>1046</v>
      </c>
      <c r="F140" s="226"/>
      <c r="G140" s="212" t="s">
        <v>1047</v>
      </c>
      <c r="H140" s="226"/>
      <c r="I140" s="213" t="s">
        <v>1048</v>
      </c>
      <c r="J140" s="213" t="s">
        <v>1049</v>
      </c>
      <c r="K140" s="807">
        <v>1</v>
      </c>
      <c r="L140" s="805">
        <v>0.4</v>
      </c>
      <c r="M140" s="857">
        <v>0</v>
      </c>
      <c r="N140" s="854">
        <f t="shared" si="81"/>
        <v>0</v>
      </c>
      <c r="O140" s="3034"/>
      <c r="P140" s="250">
        <v>48012490</v>
      </c>
      <c r="Q140" s="250">
        <v>48012490</v>
      </c>
      <c r="R140" s="853">
        <v>20924000</v>
      </c>
      <c r="S140" s="853">
        <v>10462000</v>
      </c>
      <c r="T140" s="886">
        <f t="shared" si="82"/>
        <v>0.43580326702489292</v>
      </c>
      <c r="U140" s="886">
        <f t="shared" si="82"/>
        <v>0.5</v>
      </c>
      <c r="V140" s="856">
        <v>45321</v>
      </c>
      <c r="W140" s="856">
        <v>45657</v>
      </c>
      <c r="X140" s="857" t="s">
        <v>1045</v>
      </c>
      <c r="Y140" s="3039"/>
    </row>
    <row r="141" spans="1:25" ht="27.6">
      <c r="A141" s="846"/>
      <c r="B141" s="844">
        <v>53020030007</v>
      </c>
      <c r="C141" s="844" t="s">
        <v>117</v>
      </c>
      <c r="D141" s="846" t="s">
        <v>1050</v>
      </c>
      <c r="E141" s="845"/>
      <c r="F141" s="846"/>
      <c r="G141" s="846"/>
      <c r="H141" s="846"/>
      <c r="I141" s="846"/>
      <c r="J141" s="844"/>
      <c r="K141" s="846"/>
      <c r="L141" s="846"/>
      <c r="M141" s="846"/>
      <c r="N141" s="867"/>
      <c r="O141" s="867"/>
      <c r="P141" s="847"/>
      <c r="Q141" s="847"/>
      <c r="R141" s="847"/>
      <c r="S141" s="847"/>
      <c r="T141" s="891"/>
      <c r="U141" s="891"/>
      <c r="V141" s="850"/>
      <c r="W141" s="846"/>
      <c r="X141" s="846"/>
      <c r="Y141" s="844"/>
    </row>
    <row r="142" spans="1:25" ht="14.4" customHeight="1">
      <c r="A142" s="2926">
        <v>4133</v>
      </c>
      <c r="B142" s="226"/>
      <c r="C142" s="2926" t="s">
        <v>123</v>
      </c>
      <c r="D142" s="3033" t="s">
        <v>1051</v>
      </c>
      <c r="E142" s="212" t="s">
        <v>1052</v>
      </c>
      <c r="F142" s="226"/>
      <c r="G142" s="212"/>
      <c r="H142" s="226"/>
      <c r="I142" s="213"/>
      <c r="J142" s="213"/>
      <c r="K142" s="212">
        <f>K143</f>
        <v>292</v>
      </c>
      <c r="L142" s="249">
        <f>SUM(L143)</f>
        <v>1</v>
      </c>
      <c r="M142" s="857"/>
      <c r="N142" s="855">
        <f>SUM(N143:N143)</f>
        <v>0.11986301369863013</v>
      </c>
      <c r="O142" s="3034">
        <f>IF(Q142&gt;0,N142,"na")</f>
        <v>0.11986301369863013</v>
      </c>
      <c r="P142" s="853">
        <f>SUM(P143)</f>
        <v>240000000</v>
      </c>
      <c r="Q142" s="853">
        <f t="shared" ref="Q142:S142" si="83">SUM(Q143)</f>
        <v>240000000</v>
      </c>
      <c r="R142" s="853">
        <f t="shared" si="83"/>
        <v>78054000</v>
      </c>
      <c r="S142" s="853">
        <f t="shared" si="83"/>
        <v>45463000</v>
      </c>
      <c r="T142" s="886">
        <f>+IF(Q142=0,0,R142/Q142)</f>
        <v>0.32522499999999999</v>
      </c>
      <c r="U142" s="886">
        <f>+IF(R142=0,0,S142/R142)</f>
        <v>0.58245573577267018</v>
      </c>
      <c r="V142" s="856"/>
      <c r="W142" s="857"/>
      <c r="X142" s="857"/>
      <c r="Y142" s="3037" t="s">
        <v>714</v>
      </c>
    </row>
    <row r="143" spans="1:25" ht="171.6">
      <c r="A143" s="2926"/>
      <c r="B143" s="226"/>
      <c r="C143" s="2926"/>
      <c r="D143" s="3033"/>
      <c r="E143" s="248" t="s">
        <v>1053</v>
      </c>
      <c r="F143" s="226"/>
      <c r="G143" s="212" t="s">
        <v>1054</v>
      </c>
      <c r="H143" s="226"/>
      <c r="I143" s="213" t="s">
        <v>1055</v>
      </c>
      <c r="J143" s="213" t="s">
        <v>1056</v>
      </c>
      <c r="K143" s="212">
        <v>292</v>
      </c>
      <c r="L143" s="249">
        <v>1</v>
      </c>
      <c r="M143" s="857">
        <v>35</v>
      </c>
      <c r="N143" s="854">
        <f t="shared" ref="N143" si="84">(M143/K143)*L143</f>
        <v>0.11986301369863013</v>
      </c>
      <c r="O143" s="3034"/>
      <c r="P143" s="250">
        <v>240000000</v>
      </c>
      <c r="Q143" s="250">
        <v>240000000</v>
      </c>
      <c r="R143" s="853">
        <v>78054000</v>
      </c>
      <c r="S143" s="853">
        <v>45463000</v>
      </c>
      <c r="T143" s="886">
        <f t="shared" ref="T143:U143" si="85">+IF(Q143=0,0,R143/Q143)</f>
        <v>0.32522499999999999</v>
      </c>
      <c r="U143" s="886">
        <f t="shared" si="85"/>
        <v>0.58245573577267018</v>
      </c>
      <c r="V143" s="856">
        <v>45316</v>
      </c>
      <c r="W143" s="856">
        <v>45657</v>
      </c>
      <c r="X143" s="857" t="s">
        <v>1057</v>
      </c>
      <c r="Y143" s="3039"/>
    </row>
    <row r="144" spans="1:25" ht="27.6">
      <c r="A144" s="846"/>
      <c r="B144" s="844">
        <v>53020030008</v>
      </c>
      <c r="C144" s="224" t="s">
        <v>117</v>
      </c>
      <c r="D144" s="217" t="s">
        <v>1058</v>
      </c>
      <c r="E144" s="845"/>
      <c r="F144" s="846"/>
      <c r="G144" s="846"/>
      <c r="H144" s="846"/>
      <c r="I144" s="846"/>
      <c r="J144" s="844"/>
      <c r="K144" s="846"/>
      <c r="L144" s="846"/>
      <c r="M144" s="846"/>
      <c r="N144" s="867"/>
      <c r="O144" s="867"/>
      <c r="P144" s="847"/>
      <c r="Q144" s="847"/>
      <c r="R144" s="847"/>
      <c r="S144" s="847"/>
      <c r="T144" s="891"/>
      <c r="U144" s="891"/>
      <c r="V144" s="850"/>
      <c r="W144" s="846"/>
      <c r="X144" s="846"/>
      <c r="Y144" s="844"/>
    </row>
    <row r="145" spans="1:25">
      <c r="A145" s="2926">
        <v>4133</v>
      </c>
      <c r="B145" s="226"/>
      <c r="C145" s="2926" t="s">
        <v>123</v>
      </c>
      <c r="D145" s="3033" t="s">
        <v>1059</v>
      </c>
      <c r="E145" s="212" t="s">
        <v>1060</v>
      </c>
      <c r="F145" s="226"/>
      <c r="G145" s="212"/>
      <c r="H145" s="814"/>
      <c r="I145" s="213"/>
      <c r="J145" s="213"/>
      <c r="K145" s="212">
        <f>K147</f>
        <v>21</v>
      </c>
      <c r="L145" s="249">
        <f>SUM(L146:L147)</f>
        <v>1</v>
      </c>
      <c r="M145" s="857"/>
      <c r="N145" s="855">
        <f>SUM(N146:N147)</f>
        <v>0.33882352941176469</v>
      </c>
      <c r="O145" s="3034">
        <f>IF(Q145&gt;0,N145,"na")</f>
        <v>0.33882352941176469</v>
      </c>
      <c r="P145" s="853">
        <f>SUM(P146:P147)</f>
        <v>70000000</v>
      </c>
      <c r="Q145" s="853">
        <f t="shared" ref="Q145:S145" si="86">SUM(Q146:Q147)</f>
        <v>70000000</v>
      </c>
      <c r="R145" s="853">
        <f t="shared" si="86"/>
        <v>29042000</v>
      </c>
      <c r="S145" s="853">
        <f t="shared" si="86"/>
        <v>25396000</v>
      </c>
      <c r="T145" s="886">
        <f>+IF(Q145=0,0,R145/Q145)</f>
        <v>0.4148857142857143</v>
      </c>
      <c r="U145" s="886">
        <f>+IF(R145=0,0,S145/R145)</f>
        <v>0.87445768197782525</v>
      </c>
      <c r="V145" s="856"/>
      <c r="W145" s="857"/>
      <c r="X145" s="857"/>
      <c r="Y145" s="3037" t="s">
        <v>714</v>
      </c>
    </row>
    <row r="146" spans="1:25" ht="105.6">
      <c r="A146" s="2926"/>
      <c r="B146" s="226"/>
      <c r="C146" s="2926"/>
      <c r="D146" s="3033"/>
      <c r="E146" s="248" t="s">
        <v>1061</v>
      </c>
      <c r="F146" s="226"/>
      <c r="G146" s="212"/>
      <c r="H146" s="226"/>
      <c r="I146" s="213" t="s">
        <v>1062</v>
      </c>
      <c r="J146" s="213" t="s">
        <v>1063</v>
      </c>
      <c r="K146" s="212">
        <v>17</v>
      </c>
      <c r="L146" s="249">
        <v>0.36</v>
      </c>
      <c r="M146" s="857">
        <v>16</v>
      </c>
      <c r="N146" s="854">
        <f t="shared" ref="N146:N147" si="87">(M146/K146)*L146</f>
        <v>0.33882352941176469</v>
      </c>
      <c r="O146" s="3034"/>
      <c r="P146" s="557">
        <v>40914100</v>
      </c>
      <c r="Q146" s="853">
        <v>40914100</v>
      </c>
      <c r="R146" s="853">
        <v>14584000</v>
      </c>
      <c r="S146" s="853">
        <v>10938000</v>
      </c>
      <c r="T146" s="886">
        <f t="shared" ref="T146:U147" si="88">+IF(Q146=0,0,R146/Q146)</f>
        <v>0.35645413194962128</v>
      </c>
      <c r="U146" s="886">
        <f t="shared" si="88"/>
        <v>0.75</v>
      </c>
      <c r="V146" s="856">
        <v>45316</v>
      </c>
      <c r="W146" s="856">
        <v>45657</v>
      </c>
      <c r="X146" s="857" t="s">
        <v>1064</v>
      </c>
      <c r="Y146" s="3038"/>
    </row>
    <row r="147" spans="1:25" ht="92.4">
      <c r="A147" s="2926"/>
      <c r="B147" s="226"/>
      <c r="C147" s="2926"/>
      <c r="D147" s="3033"/>
      <c r="E147" s="248" t="s">
        <v>1065</v>
      </c>
      <c r="F147" s="226"/>
      <c r="G147" s="212" t="s">
        <v>1066</v>
      </c>
      <c r="H147" s="814"/>
      <c r="I147" s="213" t="s">
        <v>1067</v>
      </c>
      <c r="J147" s="213" t="s">
        <v>556</v>
      </c>
      <c r="K147" s="212">
        <v>21</v>
      </c>
      <c r="L147" s="249">
        <v>0.64</v>
      </c>
      <c r="M147" s="857">
        <v>0</v>
      </c>
      <c r="N147" s="854">
        <f t="shared" si="87"/>
        <v>0</v>
      </c>
      <c r="O147" s="3034"/>
      <c r="P147" s="250">
        <v>29085900</v>
      </c>
      <c r="Q147" s="853">
        <v>29085900</v>
      </c>
      <c r="R147" s="853">
        <v>14458000</v>
      </c>
      <c r="S147" s="853">
        <v>14458000</v>
      </c>
      <c r="T147" s="886">
        <f t="shared" si="88"/>
        <v>0.49707934084900246</v>
      </c>
      <c r="U147" s="886">
        <f t="shared" si="88"/>
        <v>1</v>
      </c>
      <c r="V147" s="856">
        <v>45322</v>
      </c>
      <c r="W147" s="856">
        <v>45657</v>
      </c>
      <c r="X147" s="857" t="s">
        <v>1068</v>
      </c>
      <c r="Y147" s="3039"/>
    </row>
    <row r="148" spans="1:25">
      <c r="A148" s="872"/>
      <c r="B148" s="214">
        <v>5302004</v>
      </c>
      <c r="C148" s="214" t="s">
        <v>116</v>
      </c>
      <c r="D148" s="215" t="s">
        <v>1069</v>
      </c>
      <c r="E148" s="874"/>
      <c r="F148" s="872"/>
      <c r="G148" s="872"/>
      <c r="H148" s="872"/>
      <c r="I148" s="872"/>
      <c r="J148" s="873"/>
      <c r="K148" s="872"/>
      <c r="L148" s="872"/>
      <c r="M148" s="872"/>
      <c r="N148" s="875"/>
      <c r="O148" s="875"/>
      <c r="P148" s="876"/>
      <c r="Q148" s="876"/>
      <c r="R148" s="876"/>
      <c r="S148" s="876"/>
      <c r="T148" s="893"/>
      <c r="U148" s="893"/>
      <c r="V148" s="877"/>
      <c r="W148" s="872"/>
      <c r="X148" s="872"/>
      <c r="Y148" s="873"/>
    </row>
    <row r="149" spans="1:25" ht="27.6">
      <c r="A149" s="846"/>
      <c r="B149" s="844">
        <v>53020040001</v>
      </c>
      <c r="C149" s="222" t="s">
        <v>117</v>
      </c>
      <c r="D149" s="217" t="s">
        <v>1070</v>
      </c>
      <c r="E149" s="845"/>
      <c r="F149" s="846"/>
      <c r="G149" s="846"/>
      <c r="H149" s="846"/>
      <c r="I149" s="846"/>
      <c r="J149" s="844"/>
      <c r="K149" s="846"/>
      <c r="L149" s="846"/>
      <c r="M149" s="846"/>
      <c r="N149" s="867"/>
      <c r="O149" s="867"/>
      <c r="P149" s="847"/>
      <c r="Q149" s="847"/>
      <c r="R149" s="847"/>
      <c r="S149" s="847"/>
      <c r="T149" s="891"/>
      <c r="U149" s="891"/>
      <c r="V149" s="850"/>
      <c r="W149" s="846"/>
      <c r="X149" s="846"/>
      <c r="Y149" s="844"/>
    </row>
    <row r="150" spans="1:25" ht="14.4" customHeight="1">
      <c r="A150" s="2926">
        <v>4133</v>
      </c>
      <c r="B150" s="226"/>
      <c r="C150" s="2926" t="s">
        <v>123</v>
      </c>
      <c r="D150" s="3033" t="s">
        <v>1071</v>
      </c>
      <c r="E150" s="212" t="s">
        <v>1072</v>
      </c>
      <c r="F150" s="226"/>
      <c r="G150" s="212"/>
      <c r="H150" s="814"/>
      <c r="I150" s="213"/>
      <c r="J150" s="213"/>
      <c r="K150" s="212">
        <f>K151</f>
        <v>1</v>
      </c>
      <c r="L150" s="249">
        <f>SUM(L151:L151)</f>
        <v>1</v>
      </c>
      <c r="M150" s="857"/>
      <c r="N150" s="855">
        <f>SUM(N151:N151)</f>
        <v>0</v>
      </c>
      <c r="O150" s="3034">
        <f>IF(Q150&gt;0,N150,"na")</f>
        <v>0</v>
      </c>
      <c r="P150" s="853">
        <f>SUM(P151)</f>
        <v>200000000</v>
      </c>
      <c r="Q150" s="853">
        <f t="shared" ref="Q150:S150" si="89">SUM(Q151)</f>
        <v>200000000</v>
      </c>
      <c r="R150" s="853">
        <f t="shared" si="89"/>
        <v>41485000</v>
      </c>
      <c r="S150" s="853">
        <f t="shared" si="89"/>
        <v>0</v>
      </c>
      <c r="T150" s="886">
        <f>+IF(Q150=0,0,R150/Q150)</f>
        <v>0.207425</v>
      </c>
      <c r="U150" s="886">
        <f>+IF(R150=0,0,S150/R150)</f>
        <v>0</v>
      </c>
      <c r="V150" s="856"/>
      <c r="W150" s="857"/>
      <c r="X150" s="857"/>
      <c r="Y150" s="3037" t="s">
        <v>714</v>
      </c>
    </row>
    <row r="151" spans="1:25" ht="118.8">
      <c r="A151" s="2926"/>
      <c r="B151" s="226"/>
      <c r="C151" s="2926"/>
      <c r="D151" s="3033"/>
      <c r="E151" s="248" t="s">
        <v>1073</v>
      </c>
      <c r="F151" s="226"/>
      <c r="G151" s="212" t="s">
        <v>1074</v>
      </c>
      <c r="H151" s="814"/>
      <c r="I151" s="213" t="s">
        <v>1075</v>
      </c>
      <c r="J151" s="213" t="s">
        <v>1076</v>
      </c>
      <c r="K151" s="212">
        <v>1</v>
      </c>
      <c r="L151" s="249">
        <v>1</v>
      </c>
      <c r="M151" s="857">
        <v>0</v>
      </c>
      <c r="N151" s="854">
        <f t="shared" ref="N151" si="90">(M151/K151)*L151</f>
        <v>0</v>
      </c>
      <c r="O151" s="3034"/>
      <c r="P151" s="557">
        <v>200000000</v>
      </c>
      <c r="Q151" s="557">
        <v>200000000</v>
      </c>
      <c r="R151" s="853">
        <v>41485000</v>
      </c>
      <c r="S151" s="853">
        <v>0</v>
      </c>
      <c r="T151" s="886">
        <f t="shared" ref="T151:U151" si="91">+IF(Q151=0,0,R151/Q151)</f>
        <v>0.207425</v>
      </c>
      <c r="U151" s="886">
        <f t="shared" si="91"/>
        <v>0</v>
      </c>
      <c r="V151" s="856">
        <v>45366</v>
      </c>
      <c r="W151" s="856">
        <v>45657</v>
      </c>
      <c r="X151" s="857" t="s">
        <v>1077</v>
      </c>
      <c r="Y151" s="3039"/>
    </row>
    <row r="152" spans="1:25">
      <c r="A152" s="872"/>
      <c r="B152" s="221">
        <v>5303004</v>
      </c>
      <c r="C152" s="221" t="s">
        <v>116</v>
      </c>
      <c r="D152" s="215" t="s">
        <v>1078</v>
      </c>
      <c r="E152" s="874"/>
      <c r="F152" s="872"/>
      <c r="G152" s="872"/>
      <c r="H152" s="872"/>
      <c r="I152" s="872"/>
      <c r="J152" s="873"/>
      <c r="K152" s="872"/>
      <c r="L152" s="872"/>
      <c r="M152" s="872"/>
      <c r="N152" s="875"/>
      <c r="O152" s="875"/>
      <c r="P152" s="876"/>
      <c r="Q152" s="876"/>
      <c r="R152" s="876"/>
      <c r="S152" s="876"/>
      <c r="T152" s="893"/>
      <c r="U152" s="893"/>
      <c r="V152" s="877"/>
      <c r="W152" s="872"/>
      <c r="X152" s="872"/>
      <c r="Y152" s="873"/>
    </row>
    <row r="153" spans="1:25">
      <c r="A153" s="846"/>
      <c r="B153" s="844">
        <v>53030040001</v>
      </c>
      <c r="C153" s="844" t="s">
        <v>117</v>
      </c>
      <c r="D153" s="846" t="s">
        <v>1079</v>
      </c>
      <c r="E153" s="845"/>
      <c r="F153" s="846"/>
      <c r="G153" s="846"/>
      <c r="H153" s="846"/>
      <c r="I153" s="846"/>
      <c r="J153" s="844"/>
      <c r="K153" s="846"/>
      <c r="L153" s="846"/>
      <c r="M153" s="846"/>
      <c r="N153" s="867"/>
      <c r="O153" s="867"/>
      <c r="P153" s="847"/>
      <c r="Q153" s="847"/>
      <c r="R153" s="847"/>
      <c r="S153" s="847"/>
      <c r="T153" s="891"/>
      <c r="U153" s="891"/>
      <c r="V153" s="850"/>
      <c r="W153" s="846"/>
      <c r="X153" s="846"/>
      <c r="Y153" s="844"/>
    </row>
    <row r="154" spans="1:25">
      <c r="A154" s="2926">
        <v>4133</v>
      </c>
      <c r="B154" s="226"/>
      <c r="C154" s="2926" t="s">
        <v>123</v>
      </c>
      <c r="D154" s="3033" t="s">
        <v>1080</v>
      </c>
      <c r="E154" s="212" t="s">
        <v>1081</v>
      </c>
      <c r="F154" s="226"/>
      <c r="G154" s="212"/>
      <c r="H154" s="226"/>
      <c r="I154" s="213"/>
      <c r="J154" s="213"/>
      <c r="K154" s="212">
        <f>K155</f>
        <v>13</v>
      </c>
      <c r="L154" s="249">
        <f>SUM(L155:L156)</f>
        <v>1</v>
      </c>
      <c r="M154" s="857"/>
      <c r="N154" s="855">
        <f>SUM(N155:N156)</f>
        <v>0.13</v>
      </c>
      <c r="O154" s="3034">
        <f>IF(Q154&gt;0,N154,"na")</f>
        <v>0.13</v>
      </c>
      <c r="P154" s="853">
        <f>SUM(P155:P156)</f>
        <v>531000000</v>
      </c>
      <c r="Q154" s="853">
        <f t="shared" ref="Q154:S154" si="92">SUM(Q155:Q156)</f>
        <v>531000000</v>
      </c>
      <c r="R154" s="853">
        <f t="shared" si="92"/>
        <v>129407001</v>
      </c>
      <c r="S154" s="853">
        <f t="shared" si="92"/>
        <v>50348000</v>
      </c>
      <c r="T154" s="886">
        <f>+IF(Q154=0,0,R154/Q154)</f>
        <v>0.24370433333333333</v>
      </c>
      <c r="U154" s="886">
        <f>+IF(R154=0,0,S154/R154)</f>
        <v>0.38906704900764988</v>
      </c>
      <c r="V154" s="856"/>
      <c r="W154" s="857"/>
      <c r="X154" s="857"/>
      <c r="Y154" s="3037" t="s">
        <v>714</v>
      </c>
    </row>
    <row r="155" spans="1:25" ht="158.4">
      <c r="A155" s="2926"/>
      <c r="B155" s="226"/>
      <c r="C155" s="2926"/>
      <c r="D155" s="3033"/>
      <c r="E155" s="248" t="s">
        <v>1082</v>
      </c>
      <c r="F155" s="226"/>
      <c r="G155" s="213" t="s">
        <v>1083</v>
      </c>
      <c r="H155" s="226"/>
      <c r="I155" s="213" t="s">
        <v>1084</v>
      </c>
      <c r="J155" s="213" t="s">
        <v>1085</v>
      </c>
      <c r="K155" s="212">
        <v>13</v>
      </c>
      <c r="L155" s="249">
        <v>0.9</v>
      </c>
      <c r="M155" s="857">
        <v>7</v>
      </c>
      <c r="N155" s="854">
        <v>0.13</v>
      </c>
      <c r="O155" s="3034"/>
      <c r="P155" s="557">
        <v>520534496</v>
      </c>
      <c r="Q155" s="557">
        <v>520534496</v>
      </c>
      <c r="R155" s="853">
        <v>129407001</v>
      </c>
      <c r="S155" s="853">
        <v>50348000</v>
      </c>
      <c r="T155" s="886">
        <f t="shared" ref="T155:U156" si="93">+IF(Q155=0,0,R155/Q155)</f>
        <v>0.24860408290788857</v>
      </c>
      <c r="U155" s="886">
        <f t="shared" si="93"/>
        <v>0.38906704900764988</v>
      </c>
      <c r="V155" s="856">
        <v>45320</v>
      </c>
      <c r="W155" s="856">
        <v>45657</v>
      </c>
      <c r="X155" s="857" t="s">
        <v>1086</v>
      </c>
      <c r="Y155" s="3038"/>
    </row>
    <row r="156" spans="1:25" ht="79.2">
      <c r="A156" s="2926"/>
      <c r="B156" s="226"/>
      <c r="C156" s="2926"/>
      <c r="D156" s="3033"/>
      <c r="E156" s="248" t="s">
        <v>1087</v>
      </c>
      <c r="F156" s="226"/>
      <c r="G156" s="213"/>
      <c r="H156" s="226"/>
      <c r="I156" s="213" t="s">
        <v>1088</v>
      </c>
      <c r="J156" s="213" t="s">
        <v>1089</v>
      </c>
      <c r="K156" s="212">
        <v>1</v>
      </c>
      <c r="L156" s="249">
        <v>0.1</v>
      </c>
      <c r="M156" s="857">
        <v>0</v>
      </c>
      <c r="N156" s="854">
        <f t="shared" ref="N156" si="94">(M156/K156)*L156</f>
        <v>0</v>
      </c>
      <c r="O156" s="3034"/>
      <c r="P156" s="557">
        <v>10465504</v>
      </c>
      <c r="Q156" s="557">
        <v>10465504</v>
      </c>
      <c r="R156" s="853">
        <v>0</v>
      </c>
      <c r="S156" s="853">
        <v>0</v>
      </c>
      <c r="T156" s="886">
        <f t="shared" si="93"/>
        <v>0</v>
      </c>
      <c r="U156" s="886">
        <f t="shared" si="93"/>
        <v>0</v>
      </c>
      <c r="V156" s="857"/>
      <c r="W156" s="857"/>
      <c r="X156" s="857" t="s">
        <v>1090</v>
      </c>
      <c r="Y156" s="3039"/>
    </row>
    <row r="157" spans="1:25">
      <c r="A157" s="846"/>
      <c r="B157" s="844">
        <v>53030040002</v>
      </c>
      <c r="C157" s="844" t="s">
        <v>117</v>
      </c>
      <c r="D157" s="846" t="s">
        <v>1091</v>
      </c>
      <c r="E157" s="845"/>
      <c r="F157" s="846"/>
      <c r="G157" s="846"/>
      <c r="H157" s="846"/>
      <c r="I157" s="846"/>
      <c r="J157" s="844"/>
      <c r="K157" s="846"/>
      <c r="L157" s="846"/>
      <c r="M157" s="846"/>
      <c r="N157" s="867"/>
      <c r="O157" s="867"/>
      <c r="P157" s="847"/>
      <c r="Q157" s="847"/>
      <c r="R157" s="847"/>
      <c r="S157" s="847"/>
      <c r="T157" s="891"/>
      <c r="U157" s="891"/>
      <c r="V157" s="850"/>
      <c r="W157" s="846"/>
      <c r="X157" s="846"/>
      <c r="Y157" s="844"/>
    </row>
    <row r="158" spans="1:25">
      <c r="A158" s="2926">
        <v>4133</v>
      </c>
      <c r="B158" s="226"/>
      <c r="C158" s="2926" t="s">
        <v>123</v>
      </c>
      <c r="D158" s="3033" t="s">
        <v>1092</v>
      </c>
      <c r="E158" s="212" t="s">
        <v>1093</v>
      </c>
      <c r="F158" s="226"/>
      <c r="G158" s="212"/>
      <c r="H158" s="226"/>
      <c r="I158" s="213"/>
      <c r="J158" s="213"/>
      <c r="K158" s="212">
        <f>K159</f>
        <v>1</v>
      </c>
      <c r="L158" s="249">
        <f>SUM(L159:L160)</f>
        <v>1</v>
      </c>
      <c r="M158" s="857"/>
      <c r="N158" s="855">
        <f>SUM(N159:N160)</f>
        <v>0.53625</v>
      </c>
      <c r="O158" s="3034">
        <f>IF(Q158&gt;0,N158,"na")</f>
        <v>0.53625</v>
      </c>
      <c r="P158" s="853">
        <f>SUM(P159:P160)</f>
        <v>580000000</v>
      </c>
      <c r="Q158" s="853">
        <f t="shared" ref="Q158:S158" si="95">SUM(Q159:Q160)</f>
        <v>580000000</v>
      </c>
      <c r="R158" s="853">
        <f t="shared" si="95"/>
        <v>264907000</v>
      </c>
      <c r="S158" s="853">
        <f t="shared" si="95"/>
        <v>148906000</v>
      </c>
      <c r="T158" s="886">
        <f>+IF(Q158=0,0,R158/Q158)</f>
        <v>0.4567362068965517</v>
      </c>
      <c r="U158" s="886">
        <f>+IF(R158=0,0,S158/R158)</f>
        <v>0.56210670159716425</v>
      </c>
      <c r="V158" s="856"/>
      <c r="W158" s="857"/>
      <c r="X158" s="857"/>
      <c r="Y158" s="3037" t="s">
        <v>714</v>
      </c>
    </row>
    <row r="159" spans="1:25" ht="79.2">
      <c r="A159" s="2926"/>
      <c r="B159" s="226"/>
      <c r="C159" s="2926"/>
      <c r="D159" s="3033"/>
      <c r="E159" s="248" t="s">
        <v>1094</v>
      </c>
      <c r="F159" s="226"/>
      <c r="G159" s="3033" t="s">
        <v>1095</v>
      </c>
      <c r="H159" s="2926"/>
      <c r="I159" s="213" t="s">
        <v>1096</v>
      </c>
      <c r="J159" s="213" t="s">
        <v>1097</v>
      </c>
      <c r="K159" s="212">
        <v>1</v>
      </c>
      <c r="L159" s="249">
        <v>0.5</v>
      </c>
      <c r="M159" s="857">
        <v>0</v>
      </c>
      <c r="N159" s="854">
        <v>0.35</v>
      </c>
      <c r="O159" s="3034"/>
      <c r="P159" s="557">
        <v>128004000</v>
      </c>
      <c r="Q159" s="557">
        <v>128004000</v>
      </c>
      <c r="R159" s="853">
        <v>33354000</v>
      </c>
      <c r="S159" s="853">
        <v>21687000</v>
      </c>
      <c r="T159" s="886">
        <f t="shared" ref="T159:U160" si="96">+IF(Q159=0,0,R159/Q159)</f>
        <v>0.2605699821880566</v>
      </c>
      <c r="U159" s="886">
        <f t="shared" si="96"/>
        <v>0.65020687173952152</v>
      </c>
      <c r="V159" s="856">
        <v>45313</v>
      </c>
      <c r="W159" s="856">
        <v>45657</v>
      </c>
      <c r="X159" s="857" t="s">
        <v>1098</v>
      </c>
      <c r="Y159" s="3038"/>
    </row>
    <row r="160" spans="1:25" ht="92.4">
      <c r="A160" s="2926"/>
      <c r="B160" s="226"/>
      <c r="C160" s="2926"/>
      <c r="D160" s="3033"/>
      <c r="E160" s="248" t="s">
        <v>1099</v>
      </c>
      <c r="F160" s="226"/>
      <c r="G160" s="3033"/>
      <c r="H160" s="2926"/>
      <c r="I160" s="213" t="s">
        <v>1100</v>
      </c>
      <c r="J160" s="213" t="s">
        <v>1101</v>
      </c>
      <c r="K160" s="212">
        <v>400</v>
      </c>
      <c r="L160" s="249">
        <v>0.5</v>
      </c>
      <c r="M160" s="857">
        <v>149</v>
      </c>
      <c r="N160" s="854">
        <f t="shared" ref="N160" si="97">(M160/K160)*L160</f>
        <v>0.18625</v>
      </c>
      <c r="O160" s="3034"/>
      <c r="P160" s="557">
        <v>451996000</v>
      </c>
      <c r="Q160" s="557">
        <v>451996000</v>
      </c>
      <c r="R160" s="853">
        <v>231553000</v>
      </c>
      <c r="S160" s="853">
        <v>127219000</v>
      </c>
      <c r="T160" s="886">
        <f t="shared" si="96"/>
        <v>0.5122899317693077</v>
      </c>
      <c r="U160" s="886">
        <f t="shared" si="96"/>
        <v>0.54941633232996334</v>
      </c>
      <c r="V160" s="856">
        <v>45313</v>
      </c>
      <c r="W160" s="856">
        <v>45657</v>
      </c>
      <c r="X160" s="857" t="s">
        <v>1102</v>
      </c>
      <c r="Y160" s="3039"/>
    </row>
    <row r="161" spans="1:25" ht="15.6">
      <c r="A161" s="857"/>
      <c r="B161" s="815">
        <v>5305</v>
      </c>
      <c r="C161" s="815" t="s">
        <v>115</v>
      </c>
      <c r="D161" s="816" t="s">
        <v>1103</v>
      </c>
      <c r="E161" s="878"/>
      <c r="F161" s="857"/>
      <c r="G161" s="857"/>
      <c r="H161" s="857"/>
      <c r="I161" s="857"/>
      <c r="J161" s="858"/>
      <c r="K161" s="857"/>
      <c r="L161" s="857"/>
      <c r="M161" s="857"/>
      <c r="N161" s="855"/>
      <c r="O161" s="855"/>
      <c r="P161" s="853"/>
      <c r="Q161" s="853"/>
      <c r="R161" s="853"/>
      <c r="S161" s="853"/>
      <c r="T161" s="886"/>
      <c r="U161" s="886"/>
      <c r="V161" s="856"/>
      <c r="W161" s="857"/>
      <c r="X161" s="857"/>
      <c r="Y161" s="858"/>
    </row>
    <row r="162" spans="1:25">
      <c r="A162" s="857"/>
      <c r="B162" s="221">
        <v>5305001</v>
      </c>
      <c r="C162" s="221" t="s">
        <v>116</v>
      </c>
      <c r="D162" s="215" t="s">
        <v>1104</v>
      </c>
      <c r="E162" s="878"/>
      <c r="F162" s="857"/>
      <c r="G162" s="857"/>
      <c r="H162" s="857"/>
      <c r="I162" s="857"/>
      <c r="J162" s="858"/>
      <c r="K162" s="857"/>
      <c r="L162" s="857"/>
      <c r="M162" s="857"/>
      <c r="N162" s="855"/>
      <c r="O162" s="855"/>
      <c r="P162" s="853"/>
      <c r="Q162" s="853"/>
      <c r="R162" s="853"/>
      <c r="S162" s="853"/>
      <c r="T162" s="886"/>
      <c r="U162" s="886"/>
      <c r="V162" s="856"/>
      <c r="W162" s="857"/>
      <c r="X162" s="857"/>
      <c r="Y162" s="858"/>
    </row>
    <row r="163" spans="1:25" ht="27.6">
      <c r="A163" s="846"/>
      <c r="B163" s="844">
        <v>53050010005</v>
      </c>
      <c r="C163" s="844" t="s">
        <v>117</v>
      </c>
      <c r="D163" s="846" t="s">
        <v>1105</v>
      </c>
      <c r="E163" s="845"/>
      <c r="F163" s="846"/>
      <c r="G163" s="846"/>
      <c r="H163" s="846"/>
      <c r="I163" s="846"/>
      <c r="J163" s="844"/>
      <c r="K163" s="846"/>
      <c r="L163" s="846"/>
      <c r="M163" s="846"/>
      <c r="N163" s="867"/>
      <c r="O163" s="867"/>
      <c r="P163" s="847"/>
      <c r="Q163" s="847"/>
      <c r="R163" s="847"/>
      <c r="S163" s="847"/>
      <c r="T163" s="891"/>
      <c r="U163" s="891"/>
      <c r="V163" s="850"/>
      <c r="W163" s="846"/>
      <c r="X163" s="846"/>
      <c r="Y163" s="844"/>
    </row>
    <row r="164" spans="1:25" ht="14.4" customHeight="1">
      <c r="A164" s="2926">
        <v>4133</v>
      </c>
      <c r="B164" s="226"/>
      <c r="C164" s="2926" t="s">
        <v>123</v>
      </c>
      <c r="D164" s="3033" t="s">
        <v>1106</v>
      </c>
      <c r="E164" s="212" t="s">
        <v>1107</v>
      </c>
      <c r="F164" s="226"/>
      <c r="G164" s="212"/>
      <c r="H164" s="226"/>
      <c r="I164" s="213"/>
      <c r="J164" s="213"/>
      <c r="K164" s="212">
        <f>K165</f>
        <v>6</v>
      </c>
      <c r="L164" s="249">
        <f>SUM(L165:L165)</f>
        <v>1</v>
      </c>
      <c r="M164" s="857"/>
      <c r="N164" s="855">
        <f>SUM(N165)</f>
        <v>0</v>
      </c>
      <c r="O164" s="3034">
        <f>IF(Q164&gt;0,N164,"na")</f>
        <v>0</v>
      </c>
      <c r="P164" s="853">
        <f>SUM(P165)</f>
        <v>150000000</v>
      </c>
      <c r="Q164" s="853">
        <f t="shared" ref="Q164:S164" si="98">SUM(Q165)</f>
        <v>150000000</v>
      </c>
      <c r="R164" s="853">
        <f t="shared" si="98"/>
        <v>58206000</v>
      </c>
      <c r="S164" s="853">
        <f t="shared" si="98"/>
        <v>22446000</v>
      </c>
      <c r="T164" s="886">
        <f>+IF(Q164=0,0,R164/Q164)</f>
        <v>0.38804</v>
      </c>
      <c r="U164" s="886">
        <f>+IF(R164=0,0,S164/R164)</f>
        <v>0.38563034738686736</v>
      </c>
      <c r="V164" s="856"/>
      <c r="W164" s="857"/>
      <c r="X164" s="857"/>
      <c r="Y164" s="3037" t="s">
        <v>759</v>
      </c>
    </row>
    <row r="165" spans="1:25" ht="158.4">
      <c r="A165" s="2926"/>
      <c r="B165" s="226"/>
      <c r="C165" s="2926"/>
      <c r="D165" s="3033"/>
      <c r="E165" s="248" t="s">
        <v>1108</v>
      </c>
      <c r="F165" s="226"/>
      <c r="G165" s="212" t="s">
        <v>1109</v>
      </c>
      <c r="H165" s="226"/>
      <c r="I165" s="213" t="s">
        <v>1110</v>
      </c>
      <c r="J165" s="213" t="s">
        <v>556</v>
      </c>
      <c r="K165" s="212">
        <v>6</v>
      </c>
      <c r="L165" s="249">
        <v>1</v>
      </c>
      <c r="M165" s="857">
        <v>0</v>
      </c>
      <c r="N165" s="854">
        <f t="shared" ref="N165" si="99">(M165/K165)*L165</f>
        <v>0</v>
      </c>
      <c r="O165" s="3034"/>
      <c r="P165" s="557">
        <v>150000000</v>
      </c>
      <c r="Q165" s="557">
        <v>150000000</v>
      </c>
      <c r="R165" s="853">
        <v>58206000</v>
      </c>
      <c r="S165" s="853">
        <v>22446000</v>
      </c>
      <c r="T165" s="886">
        <f t="shared" ref="T165:U165" si="100">+IF(Q165=0,0,R165/Q165)</f>
        <v>0.38804</v>
      </c>
      <c r="U165" s="886">
        <f t="shared" si="100"/>
        <v>0.38563034738686736</v>
      </c>
      <c r="V165" s="856">
        <v>45320</v>
      </c>
      <c r="W165" s="856">
        <v>45657</v>
      </c>
      <c r="X165" s="857" t="s">
        <v>1111</v>
      </c>
      <c r="Y165" s="3039"/>
    </row>
    <row r="166" spans="1:25" ht="15.6">
      <c r="A166" s="857"/>
      <c r="B166" s="815">
        <v>54</v>
      </c>
      <c r="C166" s="815" t="s">
        <v>114</v>
      </c>
      <c r="D166" s="817" t="s">
        <v>122</v>
      </c>
      <c r="E166" s="878"/>
      <c r="F166" s="857"/>
      <c r="G166" s="857"/>
      <c r="H166" s="857"/>
      <c r="I166" s="857"/>
      <c r="J166" s="858"/>
      <c r="K166" s="857"/>
      <c r="L166" s="857"/>
      <c r="M166" s="857"/>
      <c r="N166" s="855"/>
      <c r="O166" s="855"/>
      <c r="P166" s="853"/>
      <c r="Q166" s="853"/>
      <c r="R166" s="853"/>
      <c r="S166" s="853"/>
      <c r="T166" s="886"/>
      <c r="U166" s="886"/>
      <c r="V166" s="856"/>
      <c r="W166" s="857"/>
      <c r="X166" s="857"/>
      <c r="Y166" s="858"/>
    </row>
    <row r="167" spans="1:25" ht="15.6">
      <c r="A167" s="857"/>
      <c r="B167" s="815">
        <v>5401</v>
      </c>
      <c r="C167" s="815" t="s">
        <v>115</v>
      </c>
      <c r="D167" s="816" t="s">
        <v>134</v>
      </c>
      <c r="E167" s="878"/>
      <c r="F167" s="857"/>
      <c r="G167" s="857"/>
      <c r="H167" s="857"/>
      <c r="I167" s="857"/>
      <c r="J167" s="858"/>
      <c r="K167" s="857"/>
      <c r="L167" s="857"/>
      <c r="M167" s="857"/>
      <c r="N167" s="855"/>
      <c r="O167" s="855"/>
      <c r="P167" s="853"/>
      <c r="Q167" s="853"/>
      <c r="R167" s="853"/>
      <c r="S167" s="853"/>
      <c r="T167" s="886"/>
      <c r="U167" s="886"/>
      <c r="V167" s="856"/>
      <c r="W167" s="857"/>
      <c r="X167" s="857"/>
      <c r="Y167" s="858"/>
    </row>
    <row r="168" spans="1:25">
      <c r="A168" s="857"/>
      <c r="B168" s="221">
        <v>5402001</v>
      </c>
      <c r="C168" s="221" t="s">
        <v>116</v>
      </c>
      <c r="D168" s="215" t="s">
        <v>119</v>
      </c>
      <c r="E168" s="878"/>
      <c r="F168" s="857"/>
      <c r="G168" s="857"/>
      <c r="H168" s="857"/>
      <c r="I168" s="857"/>
      <c r="J168" s="858"/>
      <c r="K168" s="857"/>
      <c r="L168" s="857"/>
      <c r="M168" s="857"/>
      <c r="N168" s="855"/>
      <c r="O168" s="855"/>
      <c r="P168" s="853"/>
      <c r="Q168" s="853"/>
      <c r="R168" s="853"/>
      <c r="S168" s="853"/>
      <c r="T168" s="886"/>
      <c r="U168" s="886"/>
      <c r="V168" s="856"/>
      <c r="W168" s="857"/>
      <c r="X168" s="857"/>
      <c r="Y168" s="858"/>
    </row>
    <row r="169" spans="1:25" ht="41.4">
      <c r="A169" s="846"/>
      <c r="B169" s="844">
        <v>54020010008</v>
      </c>
      <c r="C169" s="224" t="s">
        <v>117</v>
      </c>
      <c r="D169" s="217" t="s">
        <v>1112</v>
      </c>
      <c r="E169" s="845"/>
      <c r="F169" s="846"/>
      <c r="G169" s="846"/>
      <c r="H169" s="846"/>
      <c r="I169" s="846"/>
      <c r="J169" s="844"/>
      <c r="K169" s="846"/>
      <c r="L169" s="846"/>
      <c r="M169" s="846"/>
      <c r="N169" s="867"/>
      <c r="O169" s="867"/>
      <c r="P169" s="847"/>
      <c r="Q169" s="847"/>
      <c r="R169" s="847"/>
      <c r="S169" s="847"/>
      <c r="T169" s="891"/>
      <c r="U169" s="891"/>
      <c r="V169" s="850"/>
      <c r="W169" s="846"/>
      <c r="X169" s="846"/>
      <c r="Y169" s="844"/>
    </row>
    <row r="170" spans="1:25" ht="14.4" customHeight="1">
      <c r="A170" s="2926">
        <v>4133</v>
      </c>
      <c r="B170" s="226"/>
      <c r="C170" s="2926" t="s">
        <v>123</v>
      </c>
      <c r="D170" s="3033" t="s">
        <v>1113</v>
      </c>
      <c r="E170" s="212" t="s">
        <v>1114</v>
      </c>
      <c r="F170" s="226"/>
      <c r="G170" s="212"/>
      <c r="H170" s="818"/>
      <c r="I170" s="213"/>
      <c r="J170" s="213"/>
      <c r="K170" s="212">
        <v>1</v>
      </c>
      <c r="L170" s="249">
        <f>SUM(L171)</f>
        <v>1</v>
      </c>
      <c r="M170" s="857"/>
      <c r="N170" s="855">
        <f>SUM(N171)</f>
        <v>0</v>
      </c>
      <c r="O170" s="3034">
        <f>IF(Q170&gt;0,N170,"na")</f>
        <v>0</v>
      </c>
      <c r="P170" s="853">
        <f>SUM(P171)</f>
        <v>3400000000</v>
      </c>
      <c r="Q170" s="853">
        <f t="shared" ref="Q170:S170" si="101">SUM(Q171)</f>
        <v>3400000000</v>
      </c>
      <c r="R170" s="853">
        <f t="shared" si="101"/>
        <v>1829391500</v>
      </c>
      <c r="S170" s="853">
        <f t="shared" si="101"/>
        <v>1115852000</v>
      </c>
      <c r="T170" s="886">
        <f>+IF(Q170=0,0,R170/Q170)</f>
        <v>0.5380563235294118</v>
      </c>
      <c r="U170" s="886">
        <f>+IF(R170=0,0,S170/R170)</f>
        <v>0.60995801062812416</v>
      </c>
      <c r="V170" s="856"/>
      <c r="W170" s="857"/>
      <c r="X170" s="857"/>
      <c r="Y170" s="3037" t="s">
        <v>1120</v>
      </c>
    </row>
    <row r="171" spans="1:25" ht="105.6">
      <c r="A171" s="2926"/>
      <c r="B171" s="226"/>
      <c r="C171" s="2926"/>
      <c r="D171" s="3033"/>
      <c r="E171" s="248" t="s">
        <v>1115</v>
      </c>
      <c r="F171" s="226"/>
      <c r="G171" s="212" t="s">
        <v>1116</v>
      </c>
      <c r="H171" s="818"/>
      <c r="I171" s="213" t="s">
        <v>1117</v>
      </c>
      <c r="J171" s="213" t="s">
        <v>1118</v>
      </c>
      <c r="K171" s="212">
        <v>1</v>
      </c>
      <c r="L171" s="249">
        <v>1</v>
      </c>
      <c r="M171" s="857">
        <v>0</v>
      </c>
      <c r="N171" s="854">
        <f t="shared" ref="N171" si="102">(M171/K171)*L171</f>
        <v>0</v>
      </c>
      <c r="O171" s="3034"/>
      <c r="P171" s="250">
        <v>3400000000</v>
      </c>
      <c r="Q171" s="250">
        <v>3400000000</v>
      </c>
      <c r="R171" s="853">
        <v>1829391500</v>
      </c>
      <c r="S171" s="853">
        <v>1115852000</v>
      </c>
      <c r="T171" s="886">
        <f t="shared" ref="T171:U171" si="103">+IF(Q171=0,0,R171/Q171)</f>
        <v>0.5380563235294118</v>
      </c>
      <c r="U171" s="886">
        <f t="shared" si="103"/>
        <v>0.60995801062812416</v>
      </c>
      <c r="V171" s="856">
        <v>45309</v>
      </c>
      <c r="W171" s="856">
        <v>45657</v>
      </c>
      <c r="X171" s="857" t="s">
        <v>1119</v>
      </c>
      <c r="Y171" s="3039"/>
    </row>
    <row r="172" spans="1:25" ht="27.6">
      <c r="A172" s="857"/>
      <c r="B172" s="221">
        <v>5402002</v>
      </c>
      <c r="C172" s="221" t="s">
        <v>116</v>
      </c>
      <c r="D172" s="215" t="s">
        <v>590</v>
      </c>
      <c r="E172" s="878"/>
      <c r="F172" s="857"/>
      <c r="G172" s="857"/>
      <c r="H172" s="857"/>
      <c r="I172" s="857"/>
      <c r="J172" s="858"/>
      <c r="K172" s="857"/>
      <c r="L172" s="857"/>
      <c r="M172" s="857"/>
      <c r="N172" s="855"/>
      <c r="O172" s="855"/>
      <c r="P172" s="853"/>
      <c r="Q172" s="853"/>
      <c r="R172" s="853"/>
      <c r="S172" s="853"/>
      <c r="T172" s="886"/>
      <c r="U172" s="886"/>
      <c r="V172" s="856"/>
      <c r="W172" s="857"/>
      <c r="X172" s="857"/>
      <c r="Y172" s="858"/>
    </row>
    <row r="173" spans="1:25" ht="41.4">
      <c r="A173" s="846"/>
      <c r="B173" s="844">
        <v>54020020015</v>
      </c>
      <c r="C173" s="224" t="s">
        <v>117</v>
      </c>
      <c r="D173" s="217" t="s">
        <v>1121</v>
      </c>
      <c r="E173" s="845"/>
      <c r="F173" s="846"/>
      <c r="G173" s="846"/>
      <c r="H173" s="846"/>
      <c r="I173" s="846"/>
      <c r="J173" s="844"/>
      <c r="K173" s="846"/>
      <c r="L173" s="846"/>
      <c r="M173" s="846"/>
      <c r="N173" s="867"/>
      <c r="O173" s="867"/>
      <c r="P173" s="847"/>
      <c r="Q173" s="847"/>
      <c r="R173" s="847"/>
      <c r="S173" s="847"/>
      <c r="T173" s="891"/>
      <c r="U173" s="891"/>
      <c r="V173" s="850"/>
      <c r="W173" s="846"/>
      <c r="X173" s="846"/>
      <c r="Y173" s="844"/>
    </row>
    <row r="174" spans="1:25" ht="14.4" customHeight="1">
      <c r="A174" s="2926">
        <v>4133</v>
      </c>
      <c r="B174" s="226"/>
      <c r="C174" s="2926" t="s">
        <v>123</v>
      </c>
      <c r="D174" s="3033" t="s">
        <v>1122</v>
      </c>
      <c r="E174" s="212" t="s">
        <v>1123</v>
      </c>
      <c r="F174" s="226"/>
      <c r="G174" s="212"/>
      <c r="H174" s="819"/>
      <c r="I174" s="213"/>
      <c r="J174" s="213"/>
      <c r="K174" s="212">
        <v>1</v>
      </c>
      <c r="L174" s="249">
        <f>SUM(L175)</f>
        <v>1</v>
      </c>
      <c r="M174" s="857"/>
      <c r="N174" s="855">
        <f>SUM(N175)</f>
        <v>0</v>
      </c>
      <c r="O174" s="3034">
        <f>IF(Q174&gt;0,N174,"na")</f>
        <v>0</v>
      </c>
      <c r="P174" s="853">
        <f>SUM(P175)</f>
        <v>120000000</v>
      </c>
      <c r="Q174" s="853">
        <f t="shared" ref="Q174:S174" si="104">SUM(Q175)</f>
        <v>120000000</v>
      </c>
      <c r="R174" s="853">
        <f t="shared" si="104"/>
        <v>26155000</v>
      </c>
      <c r="S174" s="853">
        <f t="shared" si="104"/>
        <v>15693000</v>
      </c>
      <c r="T174" s="886">
        <f>+IF(Q174=0,0,R174/Q174)</f>
        <v>0.21795833333333334</v>
      </c>
      <c r="U174" s="886">
        <f>+IF(R174=0,0,S174/R174)</f>
        <v>0.6</v>
      </c>
      <c r="V174" s="856"/>
      <c r="W174" s="857"/>
      <c r="X174" s="857"/>
      <c r="Y174" s="3037" t="s">
        <v>1120</v>
      </c>
    </row>
    <row r="175" spans="1:25" ht="145.19999999999999">
      <c r="A175" s="2926"/>
      <c r="B175" s="226"/>
      <c r="C175" s="2926"/>
      <c r="D175" s="3033"/>
      <c r="E175" s="248" t="s">
        <v>1124</v>
      </c>
      <c r="F175" s="226"/>
      <c r="G175" s="212" t="s">
        <v>1125</v>
      </c>
      <c r="H175" s="819"/>
      <c r="I175" s="213" t="s">
        <v>1126</v>
      </c>
      <c r="J175" s="213" t="s">
        <v>1127</v>
      </c>
      <c r="K175" s="250">
        <v>1</v>
      </c>
      <c r="L175" s="249">
        <v>1</v>
      </c>
      <c r="M175" s="857">
        <v>0</v>
      </c>
      <c r="N175" s="854">
        <f t="shared" ref="N175" si="105">(M175/K175)*L175</f>
        <v>0</v>
      </c>
      <c r="O175" s="3034"/>
      <c r="P175" s="250">
        <v>120000000</v>
      </c>
      <c r="Q175" s="250">
        <v>120000000</v>
      </c>
      <c r="R175" s="853">
        <v>26155000</v>
      </c>
      <c r="S175" s="853">
        <v>15693000</v>
      </c>
      <c r="T175" s="886">
        <f t="shared" ref="T175:U175" si="106">+IF(Q175=0,0,R175/Q175)</f>
        <v>0.21795833333333334</v>
      </c>
      <c r="U175" s="886">
        <f t="shared" si="106"/>
        <v>0.6</v>
      </c>
      <c r="V175" s="856">
        <v>45313</v>
      </c>
      <c r="W175" s="856">
        <v>45657</v>
      </c>
      <c r="X175" s="857" t="s">
        <v>1128</v>
      </c>
      <c r="Y175" s="3039"/>
    </row>
    <row r="176" spans="1:25">
      <c r="A176" s="2926">
        <v>4133</v>
      </c>
      <c r="B176" s="226"/>
      <c r="C176" s="2926" t="s">
        <v>123</v>
      </c>
      <c r="D176" s="3033" t="s">
        <v>1129</v>
      </c>
      <c r="E176" s="212" t="s">
        <v>1130</v>
      </c>
      <c r="F176" s="226"/>
      <c r="G176" s="212"/>
      <c r="H176" s="819"/>
      <c r="I176" s="213"/>
      <c r="J176" s="213"/>
      <c r="K176" s="212">
        <f>K178</f>
        <v>1</v>
      </c>
      <c r="L176" s="249">
        <f>SUM(L177:L178)</f>
        <v>1</v>
      </c>
      <c r="M176" s="857"/>
      <c r="N176" s="855">
        <f>SUM(N177:N178)</f>
        <v>0</v>
      </c>
      <c r="O176" s="3034">
        <f>IF(Q176&gt;0,N176,"na")</f>
        <v>0</v>
      </c>
      <c r="P176" s="853">
        <f>SUM(P177:P178)</f>
        <v>157670089</v>
      </c>
      <c r="Q176" s="853">
        <f t="shared" ref="Q176:S176" si="107">SUM(Q177:Q178)</f>
        <v>157670089</v>
      </c>
      <c r="R176" s="853">
        <f t="shared" si="107"/>
        <v>0</v>
      </c>
      <c r="S176" s="853">
        <f t="shared" si="107"/>
        <v>0</v>
      </c>
      <c r="T176" s="886">
        <f>+IF(Q176=0,0,R176/Q176)</f>
        <v>0</v>
      </c>
      <c r="U176" s="886">
        <f>+IF(R176=0,0,S176/R176)</f>
        <v>0</v>
      </c>
      <c r="V176" s="857"/>
      <c r="W176" s="857"/>
      <c r="X176" s="857"/>
      <c r="Y176" s="3037" t="s">
        <v>714</v>
      </c>
    </row>
    <row r="177" spans="1:25" ht="79.2">
      <c r="A177" s="2926"/>
      <c r="B177" s="226"/>
      <c r="C177" s="2926"/>
      <c r="D177" s="3033"/>
      <c r="E177" s="248" t="s">
        <v>1131</v>
      </c>
      <c r="F177" s="226"/>
      <c r="G177" s="3033" t="s">
        <v>1132</v>
      </c>
      <c r="H177" s="819"/>
      <c r="I177" s="213" t="s">
        <v>1133</v>
      </c>
      <c r="J177" s="213" t="s">
        <v>1134</v>
      </c>
      <c r="K177" s="212">
        <v>2</v>
      </c>
      <c r="L177" s="249">
        <v>0.46</v>
      </c>
      <c r="M177" s="857">
        <v>0</v>
      </c>
      <c r="N177" s="854">
        <f t="shared" ref="N177:N178" si="108">(M177/K177)*L177</f>
        <v>0</v>
      </c>
      <c r="O177" s="3034"/>
      <c r="P177" s="250">
        <v>72000000</v>
      </c>
      <c r="Q177" s="250">
        <v>72000000</v>
      </c>
      <c r="R177" s="853">
        <v>0</v>
      </c>
      <c r="S177" s="853">
        <v>0</v>
      </c>
      <c r="T177" s="886">
        <f t="shared" ref="T177:U178" si="109">+IF(Q177=0,0,R177/Q177)</f>
        <v>0</v>
      </c>
      <c r="U177" s="886">
        <f t="shared" si="109"/>
        <v>0</v>
      </c>
      <c r="V177" s="857"/>
      <c r="W177" s="857"/>
      <c r="X177" s="857" t="s">
        <v>1135</v>
      </c>
      <c r="Y177" s="3038"/>
    </row>
    <row r="178" spans="1:25" ht="92.4">
      <c r="A178" s="2935"/>
      <c r="B178" s="225"/>
      <c r="C178" s="2935"/>
      <c r="D178" s="3043"/>
      <c r="E178" s="255" t="s">
        <v>1136</v>
      </c>
      <c r="F178" s="225"/>
      <c r="G178" s="3043"/>
      <c r="H178" s="882"/>
      <c r="I178" s="254" t="s">
        <v>1137</v>
      </c>
      <c r="J178" s="254" t="s">
        <v>139</v>
      </c>
      <c r="K178" s="605">
        <v>1</v>
      </c>
      <c r="L178" s="257">
        <v>0.54</v>
      </c>
      <c r="M178" s="883">
        <v>0</v>
      </c>
      <c r="N178" s="884">
        <f t="shared" si="108"/>
        <v>0</v>
      </c>
      <c r="O178" s="3044"/>
      <c r="P178" s="258">
        <v>85670089</v>
      </c>
      <c r="Q178" s="258">
        <v>85670089</v>
      </c>
      <c r="R178" s="885">
        <v>0</v>
      </c>
      <c r="S178" s="885">
        <v>0</v>
      </c>
      <c r="T178" s="894">
        <f t="shared" si="109"/>
        <v>0</v>
      </c>
      <c r="U178" s="894">
        <f t="shared" si="109"/>
        <v>0</v>
      </c>
      <c r="V178" s="883"/>
      <c r="W178" s="883"/>
      <c r="X178" s="883" t="s">
        <v>1135</v>
      </c>
      <c r="Y178" s="3046"/>
    </row>
    <row r="179" spans="1:25">
      <c r="A179" s="126"/>
      <c r="B179" s="110"/>
      <c r="C179" s="110"/>
      <c r="D179" s="126"/>
      <c r="E179" s="108"/>
      <c r="F179" s="126"/>
      <c r="G179" s="126"/>
      <c r="H179" s="126"/>
      <c r="I179" s="126"/>
      <c r="J179" s="110"/>
      <c r="K179" s="126"/>
      <c r="L179" s="126"/>
      <c r="M179" s="126"/>
      <c r="N179" s="821"/>
      <c r="O179" s="821"/>
      <c r="P179" s="820"/>
      <c r="Q179" s="820"/>
      <c r="R179" s="820"/>
      <c r="S179" s="820"/>
      <c r="T179" s="895"/>
      <c r="U179" s="895"/>
      <c r="V179" s="822"/>
      <c r="W179" s="126"/>
      <c r="X179" s="126"/>
      <c r="Y179" s="110"/>
    </row>
    <row r="180" spans="1:25">
      <c r="A180" s="126"/>
      <c r="B180" s="111" t="s">
        <v>50</v>
      </c>
      <c r="C180" s="53">
        <f>COUNTIF(C11:C178,"pr")</f>
        <v>42</v>
      </c>
      <c r="D180" s="126"/>
      <c r="E180" s="3045" t="s">
        <v>126</v>
      </c>
      <c r="F180" s="3045"/>
      <c r="G180" s="361">
        <f>COUNTIF(O11:O178,"na")</f>
        <v>0</v>
      </c>
      <c r="H180" s="126"/>
      <c r="I180" s="126"/>
      <c r="J180" s="110"/>
      <c r="K180" s="126"/>
      <c r="L180" s="126"/>
      <c r="M180" s="3045" t="s">
        <v>127</v>
      </c>
      <c r="N180" s="3045"/>
      <c r="O180" s="123">
        <f>AVERAGE(O11:O178)</f>
        <v>9.5349154616535911E-2</v>
      </c>
      <c r="P180" s="820">
        <f>P11+P14+P19+P26+P30+P32+P39+P44+P46+P48+P50+P52+P54+P56+P62+P65+P68+P71+P75+P80+P86+P89+P95+P100+P105+P109+P113+P115+P119+P124+P130+P134+P138+P142+P145+P150+P154+P158+P164+P170+P174+P176</f>
        <v>42926039107</v>
      </c>
      <c r="Q180" s="820">
        <f>Q11+Q14+Q19+Q26+Q30+Q32+Q39+Q44+Q46+Q48+Q50+Q52+Q54+Q56+Q62+Q65+Q68+Q71+Q75+Q80+Q86+Q89+Q95+Q100+Q105+Q109+Q113+Q115+Q119+Q124+Q130+Q134+Q138+Q142+Q145+Q150+Q154+Q158+Q164+Q170+Q174+Q176</f>
        <v>42926039107</v>
      </c>
      <c r="R180" s="820">
        <f>R11+R14+R19+R26+R30+R32+R39+R44+R46+R48+R50+R52+R54+R56+R62+R65+R68+R71+R75+R80+R86+R89+R95+R100+R105+R109+R113+R115+R119+R124+R130+R134+R138+R142+R145+R150+R154+R158+R164+R170+R174+R176</f>
        <v>8200976940</v>
      </c>
      <c r="S180" s="820">
        <f>S11+S14+S19+S26+S30+S32+S39+S44+S46+S48+S50+S52+S54+S56+S62+S65+S68+S71+S75+S80+S86+S89+S95+S100+S105+S109+S113+S115+S119+S124+S130+S134+S138+S142+S145+S150+S154+S158+S164+S170+S174+S176</f>
        <v>2663090935</v>
      </c>
      <c r="T180" s="895">
        <f>+IF(Q180=0,0,R180/Q180)</f>
        <v>0.1910490022048798</v>
      </c>
      <c r="U180" s="895">
        <f>+IF(R180=0,0,S180/R180)</f>
        <v>0.32472849935851666</v>
      </c>
      <c r="V180" s="822"/>
      <c r="W180" s="126"/>
      <c r="X180" s="126"/>
      <c r="Y180" s="110"/>
    </row>
    <row r="181" spans="1:25">
      <c r="A181" s="126"/>
      <c r="B181" s="110"/>
      <c r="C181" s="110"/>
      <c r="D181" s="126"/>
      <c r="E181" s="108"/>
      <c r="F181" s="126"/>
      <c r="G181" s="126"/>
      <c r="H181" s="126"/>
      <c r="I181" s="126"/>
      <c r="J181" s="110"/>
      <c r="K181" s="126"/>
      <c r="L181" s="823"/>
      <c r="M181" s="52"/>
      <c r="N181" s="205" t="s">
        <v>147</v>
      </c>
      <c r="O181" s="61">
        <f>COUNTIF(O11:O178,"=0%")</f>
        <v>26</v>
      </c>
      <c r="P181" s="820">
        <v>42926039107</v>
      </c>
      <c r="Q181" s="820">
        <v>42926039107</v>
      </c>
      <c r="R181" s="820">
        <v>8200976940</v>
      </c>
      <c r="S181" s="820">
        <v>2663090935</v>
      </c>
      <c r="T181" s="821"/>
      <c r="U181" s="821"/>
      <c r="V181" s="822"/>
      <c r="W181" s="126"/>
      <c r="X181" s="126"/>
      <c r="Y181" s="110"/>
    </row>
    <row r="182" spans="1:25">
      <c r="A182" s="824"/>
      <c r="B182" s="825"/>
      <c r="C182" s="825"/>
      <c r="D182" s="824"/>
      <c r="E182" s="826"/>
      <c r="F182" s="824"/>
      <c r="G182" s="824"/>
      <c r="H182" s="824"/>
      <c r="I182" s="824"/>
      <c r="J182" s="825"/>
      <c r="K182" s="824"/>
      <c r="L182" s="824"/>
      <c r="M182" s="824"/>
      <c r="N182" s="827"/>
      <c r="O182" s="827"/>
      <c r="P182" s="828"/>
      <c r="Q182" s="828"/>
      <c r="R182" s="828"/>
      <c r="S182" s="828"/>
      <c r="T182" s="828"/>
      <c r="U182" s="828"/>
      <c r="V182" s="829"/>
      <c r="W182" s="824"/>
      <c r="X182" s="824"/>
      <c r="Y182" s="825"/>
    </row>
  </sheetData>
  <mergeCells count="274">
    <mergeCell ref="Y145:Y147"/>
    <mergeCell ref="Y150:Y151"/>
    <mergeCell ref="Y154:Y156"/>
    <mergeCell ref="Y158:Y160"/>
    <mergeCell ref="Y86:Y87"/>
    <mergeCell ref="Y89:Y92"/>
    <mergeCell ref="Y95:Y98"/>
    <mergeCell ref="Y100:Y102"/>
    <mergeCell ref="Y105:Y107"/>
    <mergeCell ref="Y56:Y57"/>
    <mergeCell ref="Y62:Y64"/>
    <mergeCell ref="Y65:Y67"/>
    <mergeCell ref="Y68:Y70"/>
    <mergeCell ref="Y71:Y73"/>
    <mergeCell ref="E180:F180"/>
    <mergeCell ref="M180:N180"/>
    <mergeCell ref="Y11:Y13"/>
    <mergeCell ref="Y14:Y18"/>
    <mergeCell ref="Y19:Y22"/>
    <mergeCell ref="Y26:Y29"/>
    <mergeCell ref="Y30:Y31"/>
    <mergeCell ref="Y32:Y34"/>
    <mergeCell ref="Y39:Y43"/>
    <mergeCell ref="Y44:Y45"/>
    <mergeCell ref="Y46:Y47"/>
    <mergeCell ref="Y48:Y49"/>
    <mergeCell ref="Y50:Y51"/>
    <mergeCell ref="Y52:Y53"/>
    <mergeCell ref="Y54:Y55"/>
    <mergeCell ref="Y170:Y171"/>
    <mergeCell ref="Y174:Y175"/>
    <mergeCell ref="Y176:Y178"/>
    <mergeCell ref="Y142:Y143"/>
    <mergeCell ref="A176:A178"/>
    <mergeCell ref="C176:C178"/>
    <mergeCell ref="D176:D178"/>
    <mergeCell ref="O176:O178"/>
    <mergeCell ref="G177:G178"/>
    <mergeCell ref="A170:A171"/>
    <mergeCell ref="C170:C171"/>
    <mergeCell ref="D170:D171"/>
    <mergeCell ref="O170:O171"/>
    <mergeCell ref="A174:A175"/>
    <mergeCell ref="C174:C175"/>
    <mergeCell ref="D174:D175"/>
    <mergeCell ref="O174:O175"/>
    <mergeCell ref="A164:A165"/>
    <mergeCell ref="C164:C165"/>
    <mergeCell ref="D164:D165"/>
    <mergeCell ref="O164:O165"/>
    <mergeCell ref="Y164:Y165"/>
    <mergeCell ref="A158:A160"/>
    <mergeCell ref="C158:C160"/>
    <mergeCell ref="D158:D160"/>
    <mergeCell ref="O158:O160"/>
    <mergeCell ref="G159:G160"/>
    <mergeCell ref="H159:H160"/>
    <mergeCell ref="A154:A156"/>
    <mergeCell ref="C154:C156"/>
    <mergeCell ref="D154:D156"/>
    <mergeCell ref="O154:O156"/>
    <mergeCell ref="A150:A151"/>
    <mergeCell ref="C150:C151"/>
    <mergeCell ref="D150:D151"/>
    <mergeCell ref="O150:O151"/>
    <mergeCell ref="A142:A143"/>
    <mergeCell ref="C142:C143"/>
    <mergeCell ref="D142:D143"/>
    <mergeCell ref="O142:O143"/>
    <mergeCell ref="A145:A147"/>
    <mergeCell ref="C145:C147"/>
    <mergeCell ref="D145:D147"/>
    <mergeCell ref="O145:O147"/>
    <mergeCell ref="A138:A140"/>
    <mergeCell ref="C138:C140"/>
    <mergeCell ref="D138:D140"/>
    <mergeCell ref="O138:O140"/>
    <mergeCell ref="Y134:Y136"/>
    <mergeCell ref="Y138:Y140"/>
    <mergeCell ref="A134:A136"/>
    <mergeCell ref="C134:C136"/>
    <mergeCell ref="D134:D136"/>
    <mergeCell ref="O134:O136"/>
    <mergeCell ref="G135:G136"/>
    <mergeCell ref="H135:H136"/>
    <mergeCell ref="A130:A131"/>
    <mergeCell ref="C130:C131"/>
    <mergeCell ref="D130:D131"/>
    <mergeCell ref="O130:O131"/>
    <mergeCell ref="Y124:Y126"/>
    <mergeCell ref="Y130:Y131"/>
    <mergeCell ref="A124:A126"/>
    <mergeCell ref="C124:C126"/>
    <mergeCell ref="D124:D126"/>
    <mergeCell ref="O124:O126"/>
    <mergeCell ref="G125:G126"/>
    <mergeCell ref="H125:H126"/>
    <mergeCell ref="A119:A121"/>
    <mergeCell ref="C119:C121"/>
    <mergeCell ref="D119:D121"/>
    <mergeCell ref="O119:O121"/>
    <mergeCell ref="G120:G121"/>
    <mergeCell ref="H120:H121"/>
    <mergeCell ref="Y115:Y117"/>
    <mergeCell ref="Y119:Y121"/>
    <mergeCell ref="A115:A117"/>
    <mergeCell ref="C115:C117"/>
    <mergeCell ref="D115:D117"/>
    <mergeCell ref="O115:O117"/>
    <mergeCell ref="G116:G117"/>
    <mergeCell ref="H116:H117"/>
    <mergeCell ref="A113:A114"/>
    <mergeCell ref="C113:C114"/>
    <mergeCell ref="D113:D114"/>
    <mergeCell ref="O113:O114"/>
    <mergeCell ref="Y109:Y111"/>
    <mergeCell ref="Y113:Y114"/>
    <mergeCell ref="A109:A111"/>
    <mergeCell ref="C109:C111"/>
    <mergeCell ref="D109:D111"/>
    <mergeCell ref="O109:O111"/>
    <mergeCell ref="G110:G111"/>
    <mergeCell ref="H110:H111"/>
    <mergeCell ref="A105:A107"/>
    <mergeCell ref="C105:C107"/>
    <mergeCell ref="D105:D107"/>
    <mergeCell ref="O105:O107"/>
    <mergeCell ref="G106:G107"/>
    <mergeCell ref="H106:H107"/>
    <mergeCell ref="A100:A102"/>
    <mergeCell ref="C100:C102"/>
    <mergeCell ref="D100:D102"/>
    <mergeCell ref="O100:O102"/>
    <mergeCell ref="G101:G102"/>
    <mergeCell ref="H101:H102"/>
    <mergeCell ref="A95:A98"/>
    <mergeCell ref="C95:C98"/>
    <mergeCell ref="D95:D98"/>
    <mergeCell ref="O95:O98"/>
    <mergeCell ref="A86:A87"/>
    <mergeCell ref="C86:C87"/>
    <mergeCell ref="D86:D87"/>
    <mergeCell ref="O86:O87"/>
    <mergeCell ref="A89:A92"/>
    <mergeCell ref="C89:C92"/>
    <mergeCell ref="D89:D92"/>
    <mergeCell ref="O89:O92"/>
    <mergeCell ref="G90:G92"/>
    <mergeCell ref="H90:H92"/>
    <mergeCell ref="A80:A84"/>
    <mergeCell ref="C80:C84"/>
    <mergeCell ref="D80:D84"/>
    <mergeCell ref="O80:O84"/>
    <mergeCell ref="G81:G84"/>
    <mergeCell ref="H81:H84"/>
    <mergeCell ref="Y75:Y78"/>
    <mergeCell ref="Y80:Y84"/>
    <mergeCell ref="A75:A78"/>
    <mergeCell ref="C75:C78"/>
    <mergeCell ref="D75:D78"/>
    <mergeCell ref="O75:O78"/>
    <mergeCell ref="G76:G78"/>
    <mergeCell ref="H76:H78"/>
    <mergeCell ref="A71:A73"/>
    <mergeCell ref="C71:C73"/>
    <mergeCell ref="D71:D73"/>
    <mergeCell ref="O71:O73"/>
    <mergeCell ref="A68:A70"/>
    <mergeCell ref="C68:C70"/>
    <mergeCell ref="D68:D70"/>
    <mergeCell ref="O68:O70"/>
    <mergeCell ref="A65:A67"/>
    <mergeCell ref="C65:C67"/>
    <mergeCell ref="D65:D67"/>
    <mergeCell ref="O65:O67"/>
    <mergeCell ref="G66:G67"/>
    <mergeCell ref="A56:A57"/>
    <mergeCell ref="C56:C57"/>
    <mergeCell ref="D56:D57"/>
    <mergeCell ref="O56:O57"/>
    <mergeCell ref="A62:A64"/>
    <mergeCell ref="C62:C64"/>
    <mergeCell ref="D62:D64"/>
    <mergeCell ref="O62:O64"/>
    <mergeCell ref="A52:A53"/>
    <mergeCell ref="C52:C53"/>
    <mergeCell ref="D52:D53"/>
    <mergeCell ref="O52:O53"/>
    <mergeCell ref="A54:A55"/>
    <mergeCell ref="C54:C55"/>
    <mergeCell ref="D54:D55"/>
    <mergeCell ref="O54:O55"/>
    <mergeCell ref="A48:A49"/>
    <mergeCell ref="C48:C49"/>
    <mergeCell ref="D48:D49"/>
    <mergeCell ref="O48:O49"/>
    <mergeCell ref="A50:A51"/>
    <mergeCell ref="C50:C51"/>
    <mergeCell ref="D50:D51"/>
    <mergeCell ref="O50:O51"/>
    <mergeCell ref="A44:A45"/>
    <mergeCell ref="C44:C45"/>
    <mergeCell ref="D44:D45"/>
    <mergeCell ref="O44:O45"/>
    <mergeCell ref="A46:A47"/>
    <mergeCell ref="C46:C47"/>
    <mergeCell ref="D46:D47"/>
    <mergeCell ref="O46:O47"/>
    <mergeCell ref="A39:A43"/>
    <mergeCell ref="C39:C43"/>
    <mergeCell ref="D39:D43"/>
    <mergeCell ref="O39:O43"/>
    <mergeCell ref="G40:G41"/>
    <mergeCell ref="A32:A34"/>
    <mergeCell ref="C32:C34"/>
    <mergeCell ref="D32:D34"/>
    <mergeCell ref="O32:O34"/>
    <mergeCell ref="G33:G34"/>
    <mergeCell ref="A30:A31"/>
    <mergeCell ref="C30:C31"/>
    <mergeCell ref="D30:D31"/>
    <mergeCell ref="O30:O31"/>
    <mergeCell ref="A26:A29"/>
    <mergeCell ref="C26:C29"/>
    <mergeCell ref="D26:D29"/>
    <mergeCell ref="O26:O29"/>
    <mergeCell ref="A19:A22"/>
    <mergeCell ref="C19:C22"/>
    <mergeCell ref="D19:D22"/>
    <mergeCell ref="O19:O22"/>
    <mergeCell ref="Q5:Q6"/>
    <mergeCell ref="L5:L6"/>
    <mergeCell ref="K5:K6"/>
    <mergeCell ref="O5:O6"/>
    <mergeCell ref="P5:P6"/>
    <mergeCell ref="J5:J6"/>
    <mergeCell ref="G5:G6"/>
    <mergeCell ref="H5:H6"/>
    <mergeCell ref="A14:A18"/>
    <mergeCell ref="C14:C18"/>
    <mergeCell ref="D14:D18"/>
    <mergeCell ref="O14:O18"/>
    <mergeCell ref="G15:G18"/>
    <mergeCell ref="H15:H18"/>
    <mergeCell ref="A11:A13"/>
    <mergeCell ref="C11:C13"/>
    <mergeCell ref="D11:D13"/>
    <mergeCell ref="O11:O13"/>
    <mergeCell ref="G12:G13"/>
    <mergeCell ref="H12:H13"/>
    <mergeCell ref="A1:X1"/>
    <mergeCell ref="C5:C6"/>
    <mergeCell ref="R5:R6"/>
    <mergeCell ref="D5:D6"/>
    <mergeCell ref="F5:F6"/>
    <mergeCell ref="I5:I6"/>
    <mergeCell ref="A4:Y4"/>
    <mergeCell ref="T5:T6"/>
    <mergeCell ref="N5:N6"/>
    <mergeCell ref="W5:W6"/>
    <mergeCell ref="A2:Y2"/>
    <mergeCell ref="A3:B3"/>
    <mergeCell ref="C3:R3"/>
    <mergeCell ref="S3:U3"/>
    <mergeCell ref="V3:W3"/>
    <mergeCell ref="A5:A6"/>
    <mergeCell ref="Y5:Y6"/>
    <mergeCell ref="B5:B6"/>
    <mergeCell ref="X5:X6"/>
    <mergeCell ref="M5:M6"/>
    <mergeCell ref="S5:S6"/>
    <mergeCell ref="E5:E6"/>
    <mergeCell ref="U5:U6"/>
    <mergeCell ref="V5:V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51"/>
  <sheetViews>
    <sheetView zoomScaleNormal="100" zoomScaleSheetLayoutView="100" workbookViewId="0">
      <selection activeCell="A2" sqref="A2:Y2"/>
    </sheetView>
  </sheetViews>
  <sheetFormatPr baseColWidth="10" defaultColWidth="11.44140625" defaultRowHeight="13.8"/>
  <cols>
    <col min="1" max="1" width="13" style="2" customWidth="1"/>
    <col min="2" max="2" width="10.88671875" style="3" customWidth="1"/>
    <col min="3" max="3" width="8.5546875" style="2" customWidth="1"/>
    <col min="4" max="4" width="55" style="3" customWidth="1"/>
    <col min="5" max="5" width="13" style="3" customWidth="1"/>
    <col min="6" max="8" width="12.44140625" style="3" customWidth="1"/>
    <col min="9" max="9" width="17.6640625" style="3" customWidth="1"/>
    <col min="10" max="10" width="17.5546875" style="2" customWidth="1"/>
    <col min="11" max="13" width="13.109375" style="16" customWidth="1"/>
    <col min="14" max="14" width="12.6640625" style="3" customWidth="1"/>
    <col min="15" max="15" width="11.6640625" style="2" customWidth="1"/>
    <col min="16" max="16" width="14.33203125" style="3" customWidth="1"/>
    <col min="17" max="17" width="14.109375" style="3" customWidth="1"/>
    <col min="18" max="21" width="12.6640625" style="3" customWidth="1"/>
    <col min="22" max="23" width="10.6640625" style="3" customWidth="1"/>
    <col min="24" max="24" width="34" style="3" customWidth="1"/>
    <col min="25" max="25" width="17.109375" style="17" customWidth="1"/>
    <col min="26" max="26" width="11.44140625" style="3"/>
    <col min="27" max="27" width="12.44140625" style="3" bestFit="1" customWidth="1"/>
    <col min="28" max="16384" width="11.44140625" style="3"/>
  </cols>
  <sheetData>
    <row r="1" spans="1:25" ht="99.9" customHeight="1">
      <c r="A1" s="2870"/>
      <c r="B1" s="2870"/>
      <c r="C1" s="2870"/>
      <c r="D1" s="2870"/>
      <c r="E1" s="2870"/>
      <c r="F1" s="2870"/>
      <c r="G1" s="2870"/>
      <c r="H1" s="2870"/>
      <c r="I1" s="2870"/>
      <c r="J1" s="2870"/>
      <c r="K1" s="2870"/>
      <c r="L1" s="2870"/>
      <c r="M1" s="2870"/>
      <c r="N1" s="2870"/>
      <c r="O1" s="2870"/>
      <c r="P1" s="2870"/>
      <c r="Q1" s="2870"/>
      <c r="R1" s="2870"/>
      <c r="S1" s="2870"/>
      <c r="T1" s="2870"/>
      <c r="U1" s="2870"/>
      <c r="V1" s="2870"/>
      <c r="W1" s="2870"/>
      <c r="X1" s="2870"/>
    </row>
    <row r="2" spans="1:25" s="26" customFormat="1" ht="25.5" customHeight="1">
      <c r="A2" s="2872"/>
      <c r="B2" s="2873"/>
      <c r="C2" s="2873"/>
      <c r="D2" s="2873"/>
      <c r="E2" s="2873"/>
      <c r="F2" s="2873"/>
      <c r="G2" s="2873"/>
      <c r="H2" s="2873"/>
      <c r="I2" s="2873"/>
      <c r="J2" s="2873"/>
      <c r="K2" s="2873"/>
      <c r="L2" s="2873"/>
      <c r="M2" s="2873"/>
      <c r="N2" s="2873"/>
      <c r="O2" s="2873"/>
      <c r="P2" s="2873"/>
      <c r="Q2" s="2873"/>
      <c r="R2" s="2873"/>
      <c r="S2" s="2873"/>
      <c r="T2" s="2873"/>
      <c r="U2" s="2873"/>
      <c r="V2" s="2873"/>
      <c r="W2" s="2873"/>
      <c r="X2" s="2873"/>
      <c r="Y2" s="2874"/>
    </row>
    <row r="3" spans="1:25" s="25" customFormat="1" ht="24.9" customHeight="1">
      <c r="A3" s="2875" t="s">
        <v>87</v>
      </c>
      <c r="B3" s="2875"/>
      <c r="C3" s="2875" t="s">
        <v>96</v>
      </c>
      <c r="D3" s="2875"/>
      <c r="E3" s="2875"/>
      <c r="F3" s="2875"/>
      <c r="G3" s="2875"/>
      <c r="H3" s="2875"/>
      <c r="I3" s="2875"/>
      <c r="J3" s="2875"/>
      <c r="K3" s="2875"/>
      <c r="L3" s="2875"/>
      <c r="M3" s="2875"/>
      <c r="N3" s="2875"/>
      <c r="O3" s="2875"/>
      <c r="P3" s="2875"/>
      <c r="Q3" s="2875"/>
      <c r="R3" s="2875"/>
      <c r="S3" s="2876" t="s">
        <v>17</v>
      </c>
      <c r="T3" s="2876"/>
      <c r="U3" s="2876"/>
      <c r="V3" s="2877">
        <v>45382</v>
      </c>
      <c r="W3" s="2876"/>
      <c r="X3" s="41" t="s">
        <v>5</v>
      </c>
      <c r="Y3" s="42">
        <v>2024</v>
      </c>
    </row>
    <row r="4" spans="1:25" s="26" customFormat="1" ht="25.5" customHeight="1">
      <c r="A4" s="2921"/>
      <c r="B4" s="2921"/>
      <c r="C4" s="2921"/>
      <c r="D4" s="2921"/>
      <c r="E4" s="2921"/>
      <c r="F4" s="2921"/>
      <c r="G4" s="2921"/>
      <c r="H4" s="2921"/>
      <c r="I4" s="2921"/>
      <c r="J4" s="2921"/>
      <c r="K4" s="2921"/>
      <c r="L4" s="2921"/>
      <c r="M4" s="2921"/>
      <c r="N4" s="2921"/>
      <c r="O4" s="2921"/>
      <c r="P4" s="2921"/>
      <c r="Q4" s="2921"/>
      <c r="R4" s="2921"/>
      <c r="S4" s="2921"/>
      <c r="T4" s="2921"/>
      <c r="U4" s="2921"/>
      <c r="V4" s="2921"/>
      <c r="W4" s="2921"/>
      <c r="X4" s="2921"/>
      <c r="Y4" s="2921"/>
    </row>
    <row r="5" spans="1:25" ht="53.25" customHeight="1">
      <c r="A5" s="2944" t="s">
        <v>88</v>
      </c>
      <c r="B5" s="2944" t="s">
        <v>4</v>
      </c>
      <c r="C5" s="2944" t="s">
        <v>3</v>
      </c>
      <c r="D5" s="2944" t="s">
        <v>108</v>
      </c>
      <c r="E5" s="2944" t="s">
        <v>2</v>
      </c>
      <c r="F5" s="2944" t="s">
        <v>89</v>
      </c>
      <c r="G5" s="2944" t="s">
        <v>106</v>
      </c>
      <c r="H5" s="2944" t="s">
        <v>107</v>
      </c>
      <c r="I5" s="2944" t="s">
        <v>8</v>
      </c>
      <c r="J5" s="2944" t="s">
        <v>9</v>
      </c>
      <c r="K5" s="2944" t="s">
        <v>10</v>
      </c>
      <c r="L5" s="2944" t="s">
        <v>11</v>
      </c>
      <c r="M5" s="2946" t="s">
        <v>100</v>
      </c>
      <c r="N5" s="2945" t="s">
        <v>12</v>
      </c>
      <c r="O5" s="2945" t="s">
        <v>86</v>
      </c>
      <c r="P5" s="2947" t="s">
        <v>1</v>
      </c>
      <c r="Q5" s="2945" t="s">
        <v>13</v>
      </c>
      <c r="R5" s="2945" t="s">
        <v>14</v>
      </c>
      <c r="S5" s="2945" t="s">
        <v>16</v>
      </c>
      <c r="T5" s="2945" t="s">
        <v>15</v>
      </c>
      <c r="U5" s="2945" t="s">
        <v>103</v>
      </c>
      <c r="V5" s="2947" t="s">
        <v>6</v>
      </c>
      <c r="W5" s="2947" t="s">
        <v>7</v>
      </c>
      <c r="X5" s="2945" t="s">
        <v>0</v>
      </c>
      <c r="Y5" s="2946" t="s">
        <v>90</v>
      </c>
    </row>
    <row r="6" spans="1:25" ht="42.75" customHeight="1">
      <c r="A6" s="2923"/>
      <c r="B6" s="2923"/>
      <c r="C6" s="2923"/>
      <c r="D6" s="2923"/>
      <c r="E6" s="2923"/>
      <c r="F6" s="2923"/>
      <c r="G6" s="2923"/>
      <c r="H6" s="2923"/>
      <c r="I6" s="2923"/>
      <c r="J6" s="2923"/>
      <c r="K6" s="2923"/>
      <c r="L6" s="2923"/>
      <c r="M6" s="2925"/>
      <c r="N6" s="2924"/>
      <c r="O6" s="2924"/>
      <c r="P6" s="2922"/>
      <c r="Q6" s="2924"/>
      <c r="R6" s="2924"/>
      <c r="S6" s="2924"/>
      <c r="T6" s="2924"/>
      <c r="U6" s="2924"/>
      <c r="V6" s="2922"/>
      <c r="W6" s="2922"/>
      <c r="X6" s="2924"/>
      <c r="Y6" s="2925"/>
    </row>
    <row r="7" spans="1:25" ht="15.6">
      <c r="A7" s="907"/>
      <c r="B7" s="908">
        <v>51</v>
      </c>
      <c r="C7" s="908" t="s">
        <v>114</v>
      </c>
      <c r="D7" s="909" t="s">
        <v>148</v>
      </c>
      <c r="E7" s="910"/>
      <c r="F7" s="911"/>
      <c r="G7" s="911"/>
      <c r="H7" s="911"/>
      <c r="I7" s="911"/>
      <c r="J7" s="911"/>
      <c r="K7" s="911"/>
      <c r="L7" s="911"/>
      <c r="M7" s="911"/>
      <c r="N7" s="911"/>
      <c r="O7" s="911"/>
      <c r="P7" s="912"/>
      <c r="Q7" s="912"/>
      <c r="R7" s="912"/>
      <c r="S7" s="912"/>
      <c r="T7" s="912"/>
      <c r="U7" s="912"/>
      <c r="V7" s="910"/>
      <c r="W7" s="910"/>
      <c r="X7" s="910"/>
      <c r="Y7" s="911"/>
    </row>
    <row r="8" spans="1:25" ht="15.6">
      <c r="A8" s="913"/>
      <c r="B8" s="914">
        <v>5101</v>
      </c>
      <c r="C8" s="914" t="s">
        <v>115</v>
      </c>
      <c r="D8" s="915" t="s">
        <v>149</v>
      </c>
      <c r="E8" s="916"/>
      <c r="F8" s="917"/>
      <c r="G8" s="917"/>
      <c r="H8" s="917"/>
      <c r="I8" s="917"/>
      <c r="J8" s="917"/>
      <c r="K8" s="917"/>
      <c r="L8" s="917"/>
      <c r="M8" s="917"/>
      <c r="N8" s="917"/>
      <c r="O8" s="917"/>
      <c r="P8" s="918"/>
      <c r="Q8" s="918"/>
      <c r="R8" s="918"/>
      <c r="S8" s="918"/>
      <c r="T8" s="918"/>
      <c r="U8" s="918"/>
      <c r="V8" s="916"/>
      <c r="W8" s="916"/>
      <c r="X8" s="916"/>
      <c r="Y8" s="917"/>
    </row>
    <row r="9" spans="1:25">
      <c r="A9" s="913"/>
      <c r="B9" s="919">
        <v>5101001</v>
      </c>
      <c r="C9" s="919" t="s">
        <v>116</v>
      </c>
      <c r="D9" s="920" t="s">
        <v>150</v>
      </c>
      <c r="E9" s="916"/>
      <c r="F9" s="917"/>
      <c r="G9" s="917"/>
      <c r="H9" s="917"/>
      <c r="I9" s="917"/>
      <c r="J9" s="917"/>
      <c r="K9" s="917"/>
      <c r="L9" s="917"/>
      <c r="M9" s="917"/>
      <c r="N9" s="917"/>
      <c r="O9" s="917"/>
      <c r="P9" s="918"/>
      <c r="Q9" s="918"/>
      <c r="R9" s="918"/>
      <c r="S9" s="918"/>
      <c r="T9" s="918"/>
      <c r="U9" s="918"/>
      <c r="V9" s="916"/>
      <c r="W9" s="916"/>
      <c r="X9" s="916"/>
      <c r="Y9" s="917"/>
    </row>
    <row r="10" spans="1:25">
      <c r="A10" s="921"/>
      <c r="B10" s="922">
        <v>51010010003</v>
      </c>
      <c r="C10" s="922" t="s">
        <v>117</v>
      </c>
      <c r="D10" s="923" t="s">
        <v>1138</v>
      </c>
      <c r="E10" s="924"/>
      <c r="F10" s="925"/>
      <c r="G10" s="926"/>
      <c r="H10" s="927"/>
      <c r="I10" s="926"/>
      <c r="J10" s="926"/>
      <c r="K10" s="926"/>
      <c r="L10" s="926"/>
      <c r="M10" s="926"/>
      <c r="N10" s="926"/>
      <c r="O10" s="926"/>
      <c r="P10" s="928"/>
      <c r="Q10" s="928"/>
      <c r="R10" s="928"/>
      <c r="S10" s="928"/>
      <c r="T10" s="928"/>
      <c r="U10" s="928"/>
      <c r="V10" s="924"/>
      <c r="W10" s="924"/>
      <c r="X10" s="924"/>
      <c r="Y10" s="917"/>
    </row>
    <row r="11" spans="1:25">
      <c r="A11" s="3054">
        <v>4134</v>
      </c>
      <c r="B11" s="3055"/>
      <c r="C11" s="3054" t="s">
        <v>123</v>
      </c>
      <c r="D11" s="3051" t="s">
        <v>1139</v>
      </c>
      <c r="E11" s="925" t="s">
        <v>1140</v>
      </c>
      <c r="F11" s="926"/>
      <c r="G11" s="926"/>
      <c r="H11" s="927"/>
      <c r="I11" s="930"/>
      <c r="J11" s="930"/>
      <c r="K11" s="931">
        <f t="shared" ref="K11:N11" si="0">+K12</f>
        <v>18</v>
      </c>
      <c r="L11" s="932">
        <f t="shared" si="0"/>
        <v>1</v>
      </c>
      <c r="M11" s="931">
        <f t="shared" si="0"/>
        <v>0</v>
      </c>
      <c r="N11" s="961">
        <f t="shared" si="0"/>
        <v>0.15</v>
      </c>
      <c r="O11" s="3052">
        <f>IF(Q11&gt;0,N11,"na")</f>
        <v>0.15</v>
      </c>
      <c r="P11" s="933">
        <f t="shared" ref="P11:S11" si="1">+P12</f>
        <v>28850625</v>
      </c>
      <c r="Q11" s="933">
        <f t="shared" si="1"/>
        <v>28850625</v>
      </c>
      <c r="R11" s="933">
        <f t="shared" si="1"/>
        <v>17310000</v>
      </c>
      <c r="S11" s="933">
        <f t="shared" si="1"/>
        <v>11540000</v>
      </c>
      <c r="T11" s="961">
        <f t="shared" ref="T11:U12" si="2">IF(Q11=0,0,R11/Q11)</f>
        <v>0.59998700201468769</v>
      </c>
      <c r="U11" s="961">
        <f t="shared" si="2"/>
        <v>0.66666666666666663</v>
      </c>
      <c r="V11" s="924"/>
      <c r="W11" s="924"/>
      <c r="X11" s="924"/>
      <c r="Y11" s="917"/>
    </row>
    <row r="12" spans="1:25" ht="132">
      <c r="A12" s="3048"/>
      <c r="B12" s="3048"/>
      <c r="C12" s="3048"/>
      <c r="D12" s="3048"/>
      <c r="E12" s="925" t="s">
        <v>1141</v>
      </c>
      <c r="F12" s="926"/>
      <c r="G12" s="929" t="s">
        <v>1138</v>
      </c>
      <c r="H12" s="927"/>
      <c r="I12" s="929" t="s">
        <v>1142</v>
      </c>
      <c r="J12" s="929" t="s">
        <v>1143</v>
      </c>
      <c r="K12" s="931">
        <v>18</v>
      </c>
      <c r="L12" s="932">
        <v>1</v>
      </c>
      <c r="M12" s="931">
        <v>0</v>
      </c>
      <c r="N12" s="961">
        <v>0.15</v>
      </c>
      <c r="O12" s="3053"/>
      <c r="P12" s="933">
        <v>28850625</v>
      </c>
      <c r="Q12" s="933">
        <v>28850625</v>
      </c>
      <c r="R12" s="933">
        <v>17310000</v>
      </c>
      <c r="S12" s="933">
        <v>11540000</v>
      </c>
      <c r="T12" s="961">
        <f t="shared" si="2"/>
        <v>0.59998700201468769</v>
      </c>
      <c r="U12" s="961">
        <f t="shared" si="2"/>
        <v>0.66666666666666663</v>
      </c>
      <c r="V12" s="934">
        <v>45338</v>
      </c>
      <c r="W12" s="934">
        <v>45657</v>
      </c>
      <c r="X12" s="935" t="s">
        <v>1144</v>
      </c>
      <c r="Y12" s="3047" t="s">
        <v>1145</v>
      </c>
    </row>
    <row r="13" spans="1:25">
      <c r="A13" s="913"/>
      <c r="B13" s="922">
        <v>51010010009</v>
      </c>
      <c r="C13" s="922" t="s">
        <v>117</v>
      </c>
      <c r="D13" s="923" t="s">
        <v>1146</v>
      </c>
      <c r="E13" s="922"/>
      <c r="F13" s="922"/>
      <c r="G13" s="936"/>
      <c r="H13" s="927"/>
      <c r="I13" s="937"/>
      <c r="J13" s="937"/>
      <c r="K13" s="931"/>
      <c r="L13" s="931"/>
      <c r="M13" s="938"/>
      <c r="N13" s="939"/>
      <c r="O13" s="939"/>
      <c r="P13" s="938"/>
      <c r="Q13" s="938"/>
      <c r="R13" s="938"/>
      <c r="S13" s="938"/>
      <c r="T13" s="939"/>
      <c r="U13" s="939"/>
      <c r="V13" s="939"/>
      <c r="W13" s="940"/>
      <c r="X13" s="940"/>
      <c r="Y13" s="3048"/>
    </row>
    <row r="14" spans="1:25">
      <c r="A14" s="3049">
        <v>4134</v>
      </c>
      <c r="B14" s="3050"/>
      <c r="C14" s="3049" t="s">
        <v>123</v>
      </c>
      <c r="D14" s="3051" t="s">
        <v>1147</v>
      </c>
      <c r="E14" s="925" t="s">
        <v>1148</v>
      </c>
      <c r="F14" s="922"/>
      <c r="G14" s="941"/>
      <c r="H14" s="925"/>
      <c r="I14" s="942"/>
      <c r="J14" s="941"/>
      <c r="K14" s="931">
        <f t="shared" ref="K14:N14" si="3">+K15</f>
        <v>57</v>
      </c>
      <c r="L14" s="932">
        <f t="shared" si="3"/>
        <v>1</v>
      </c>
      <c r="M14" s="943">
        <f t="shared" si="3"/>
        <v>55</v>
      </c>
      <c r="N14" s="961">
        <f t="shared" si="3"/>
        <v>0.15</v>
      </c>
      <c r="O14" s="3052">
        <f>IF(Q14&gt;0,N14,"na")</f>
        <v>0.15</v>
      </c>
      <c r="P14" s="933">
        <v>73231425</v>
      </c>
      <c r="Q14" s="933">
        <f t="shared" ref="Q14:S14" si="4">Q15</f>
        <v>73231425</v>
      </c>
      <c r="R14" s="933">
        <f t="shared" si="4"/>
        <v>41848000</v>
      </c>
      <c r="S14" s="933">
        <f t="shared" si="4"/>
        <v>31386000</v>
      </c>
      <c r="T14" s="961">
        <f t="shared" ref="T14:U15" si="5">IF(Q14=0,0,R14/Q14)</f>
        <v>0.57144866428585817</v>
      </c>
      <c r="U14" s="961">
        <f t="shared" si="5"/>
        <v>0.75</v>
      </c>
      <c r="V14" s="934"/>
      <c r="W14" s="934"/>
      <c r="X14" s="934"/>
      <c r="Y14" s="3047" t="s">
        <v>1149</v>
      </c>
    </row>
    <row r="15" spans="1:25" ht="92.4">
      <c r="A15" s="3048"/>
      <c r="B15" s="3048"/>
      <c r="C15" s="3048"/>
      <c r="D15" s="3048"/>
      <c r="E15" s="925" t="s">
        <v>1150</v>
      </c>
      <c r="F15" s="925"/>
      <c r="G15" s="929" t="s">
        <v>1151</v>
      </c>
      <c r="H15" s="927"/>
      <c r="I15" s="942" t="s">
        <v>1152</v>
      </c>
      <c r="J15" s="941" t="s">
        <v>1153</v>
      </c>
      <c r="K15" s="931">
        <v>57</v>
      </c>
      <c r="L15" s="932">
        <v>1</v>
      </c>
      <c r="M15" s="943">
        <v>55</v>
      </c>
      <c r="N15" s="961">
        <v>0.15</v>
      </c>
      <c r="O15" s="3053"/>
      <c r="P15" s="933">
        <v>73231425</v>
      </c>
      <c r="Q15" s="933">
        <f>P15</f>
        <v>73231425</v>
      </c>
      <c r="R15" s="933">
        <v>41848000</v>
      </c>
      <c r="S15" s="933">
        <v>31386000</v>
      </c>
      <c r="T15" s="961">
        <f t="shared" si="5"/>
        <v>0.57144866428585817</v>
      </c>
      <c r="U15" s="961">
        <f t="shared" si="5"/>
        <v>0.75</v>
      </c>
      <c r="V15" s="934">
        <v>45309</v>
      </c>
      <c r="W15" s="934">
        <v>45657</v>
      </c>
      <c r="X15" s="935" t="s">
        <v>1154</v>
      </c>
      <c r="Y15" s="3048"/>
    </row>
    <row r="16" spans="1:25" ht="27.6">
      <c r="A16" s="3049">
        <v>4134</v>
      </c>
      <c r="B16" s="944">
        <v>51010010019</v>
      </c>
      <c r="C16" s="944" t="s">
        <v>117</v>
      </c>
      <c r="D16" s="923" t="s">
        <v>1155</v>
      </c>
      <c r="E16" s="945"/>
      <c r="F16" s="946"/>
      <c r="G16" s="917"/>
      <c r="H16" s="947"/>
      <c r="I16" s="917"/>
      <c r="J16" s="917"/>
      <c r="K16" s="948"/>
      <c r="L16" s="948"/>
      <c r="M16" s="943"/>
      <c r="N16" s="950"/>
      <c r="O16" s="950"/>
      <c r="P16" s="949"/>
      <c r="Q16" s="949"/>
      <c r="R16" s="949"/>
      <c r="S16" s="949"/>
      <c r="T16" s="961"/>
      <c r="U16" s="961"/>
      <c r="V16" s="950"/>
      <c r="W16" s="951"/>
      <c r="X16" s="951"/>
      <c r="Y16" s="952"/>
    </row>
    <row r="17" spans="1:25">
      <c r="A17" s="3048"/>
      <c r="B17" s="3049"/>
      <c r="C17" s="3049" t="s">
        <v>123</v>
      </c>
      <c r="D17" s="3051" t="s">
        <v>1156</v>
      </c>
      <c r="E17" s="925" t="s">
        <v>1157</v>
      </c>
      <c r="F17" s="946"/>
      <c r="G17" s="941"/>
      <c r="H17" s="947"/>
      <c r="I17" s="952"/>
      <c r="J17" s="952"/>
      <c r="K17" s="933">
        <f t="shared" ref="K17:L17" si="6">K18</f>
        <v>3000</v>
      </c>
      <c r="L17" s="932">
        <f t="shared" si="6"/>
        <v>1</v>
      </c>
      <c r="M17" s="943">
        <f t="shared" ref="M17:N17" si="7">+M18</f>
        <v>0</v>
      </c>
      <c r="N17" s="961">
        <f t="shared" si="7"/>
        <v>0.19</v>
      </c>
      <c r="O17" s="3052">
        <f>IF(Q17&gt;0,N17,"na")</f>
        <v>0.19</v>
      </c>
      <c r="P17" s="933">
        <f t="shared" ref="P17:S17" si="8">P18</f>
        <v>369624375</v>
      </c>
      <c r="Q17" s="933">
        <f t="shared" si="8"/>
        <v>369624375</v>
      </c>
      <c r="R17" s="933">
        <f t="shared" si="8"/>
        <v>363356000</v>
      </c>
      <c r="S17" s="933">
        <f t="shared" si="8"/>
        <v>221728000</v>
      </c>
      <c r="T17" s="961">
        <f t="shared" ref="T17:U18" si="9">IF(Q17=0,0,R17/Q17)</f>
        <v>0.98304122935615379</v>
      </c>
      <c r="U17" s="961">
        <f t="shared" si="9"/>
        <v>0.6102224815332622</v>
      </c>
      <c r="V17" s="934"/>
      <c r="W17" s="934"/>
      <c r="X17" s="934"/>
      <c r="Y17" s="3047" t="s">
        <v>1145</v>
      </c>
    </row>
    <row r="18" spans="1:25" ht="158.4">
      <c r="A18" s="3048"/>
      <c r="B18" s="3048"/>
      <c r="C18" s="3048"/>
      <c r="D18" s="3048"/>
      <c r="E18" s="925" t="s">
        <v>1158</v>
      </c>
      <c r="F18" s="925"/>
      <c r="G18" s="941" t="s">
        <v>1159</v>
      </c>
      <c r="H18" s="947"/>
      <c r="I18" s="941" t="s">
        <v>1160</v>
      </c>
      <c r="J18" s="941" t="s">
        <v>1161</v>
      </c>
      <c r="K18" s="933">
        <v>3000</v>
      </c>
      <c r="L18" s="932">
        <v>1</v>
      </c>
      <c r="M18" s="943">
        <v>0</v>
      </c>
      <c r="N18" s="961">
        <v>0.19</v>
      </c>
      <c r="O18" s="3053"/>
      <c r="P18" s="953">
        <v>369624375</v>
      </c>
      <c r="Q18" s="953">
        <f>P18</f>
        <v>369624375</v>
      </c>
      <c r="R18" s="953">
        <v>363356000</v>
      </c>
      <c r="S18" s="953">
        <v>221728000</v>
      </c>
      <c r="T18" s="961">
        <f t="shared" si="9"/>
        <v>0.98304122935615379</v>
      </c>
      <c r="U18" s="961">
        <f t="shared" si="9"/>
        <v>0.6102224815332622</v>
      </c>
      <c r="V18" s="934">
        <v>45309</v>
      </c>
      <c r="W18" s="934">
        <v>45657</v>
      </c>
      <c r="X18" s="935" t="s">
        <v>1162</v>
      </c>
      <c r="Y18" s="3048"/>
    </row>
    <row r="19" spans="1:25">
      <c r="A19" s="3049">
        <v>4134</v>
      </c>
      <c r="B19" s="944">
        <v>51010010020</v>
      </c>
      <c r="C19" s="944" t="s">
        <v>117</v>
      </c>
      <c r="D19" s="923" t="s">
        <v>1163</v>
      </c>
      <c r="E19" s="945"/>
      <c r="F19" s="946"/>
      <c r="G19" s="917"/>
      <c r="H19" s="954"/>
      <c r="I19" s="917"/>
      <c r="J19" s="917"/>
      <c r="K19" s="948"/>
      <c r="L19" s="948"/>
      <c r="M19" s="948"/>
      <c r="N19" s="950"/>
      <c r="O19" s="962"/>
      <c r="P19" s="949"/>
      <c r="Q19" s="949"/>
      <c r="R19" s="949"/>
      <c r="S19" s="949"/>
      <c r="T19" s="961"/>
      <c r="U19" s="961"/>
      <c r="V19" s="950"/>
      <c r="W19" s="951"/>
      <c r="X19" s="951"/>
      <c r="Y19" s="956"/>
    </row>
    <row r="20" spans="1:25">
      <c r="A20" s="3048"/>
      <c r="B20" s="3049"/>
      <c r="C20" s="3049" t="s">
        <v>123</v>
      </c>
      <c r="D20" s="3051" t="s">
        <v>1164</v>
      </c>
      <c r="E20" s="925" t="s">
        <v>1165</v>
      </c>
      <c r="F20" s="922"/>
      <c r="G20" s="913"/>
      <c r="H20" s="925"/>
      <c r="I20" s="941"/>
      <c r="J20" s="952"/>
      <c r="K20" s="931">
        <f>K22</f>
        <v>1</v>
      </c>
      <c r="L20" s="932">
        <f>L22+L21</f>
        <v>1</v>
      </c>
      <c r="M20" s="943">
        <f t="shared" ref="M20:N20" si="10">+M21+M22</f>
        <v>0.46</v>
      </c>
      <c r="N20" s="961">
        <f t="shared" si="10"/>
        <v>0.09</v>
      </c>
      <c r="O20" s="3052">
        <f>IF(Q20&gt;0,N20,"na")</f>
        <v>0.09</v>
      </c>
      <c r="P20" s="933">
        <f t="shared" ref="P20:S20" si="11">P22+P21</f>
        <v>1461881740</v>
      </c>
      <c r="Q20" s="933">
        <f t="shared" si="11"/>
        <v>1461881740</v>
      </c>
      <c r="R20" s="933">
        <f t="shared" si="11"/>
        <v>481744455</v>
      </c>
      <c r="S20" s="933">
        <f t="shared" si="11"/>
        <v>45336927</v>
      </c>
      <c r="T20" s="961">
        <f t="shared" ref="T20:U20" si="12">IF(Q20=0,0,R20/Q20)</f>
        <v>0.32953722713575995</v>
      </c>
      <c r="U20" s="961">
        <f t="shared" si="12"/>
        <v>9.4109909370934011E-2</v>
      </c>
      <c r="V20" s="934"/>
      <c r="W20" s="934"/>
      <c r="X20" s="934"/>
      <c r="Y20" s="3047" t="s">
        <v>1145</v>
      </c>
    </row>
    <row r="21" spans="1:25" ht="52.8">
      <c r="A21" s="3048"/>
      <c r="B21" s="3048"/>
      <c r="C21" s="3048"/>
      <c r="D21" s="3048"/>
      <c r="E21" s="925" t="s">
        <v>1166</v>
      </c>
      <c r="F21" s="922"/>
      <c r="G21" s="941"/>
      <c r="H21" s="925"/>
      <c r="I21" s="941" t="s">
        <v>1167</v>
      </c>
      <c r="J21" s="941" t="s">
        <v>1168</v>
      </c>
      <c r="K21" s="931">
        <v>32</v>
      </c>
      <c r="L21" s="932">
        <v>0.8</v>
      </c>
      <c r="M21" s="943">
        <v>0</v>
      </c>
      <c r="N21" s="961">
        <v>0</v>
      </c>
      <c r="O21" s="3053"/>
      <c r="P21" s="933">
        <v>841864990</v>
      </c>
      <c r="Q21" s="933">
        <f>+P21</f>
        <v>841864990</v>
      </c>
      <c r="R21" s="933">
        <v>0</v>
      </c>
      <c r="S21" s="933">
        <v>0</v>
      </c>
      <c r="T21" s="961">
        <v>0</v>
      </c>
      <c r="U21" s="961">
        <v>0</v>
      </c>
      <c r="V21" s="934">
        <v>45398</v>
      </c>
      <c r="W21" s="934">
        <v>45657</v>
      </c>
      <c r="X21" s="931" t="s">
        <v>1169</v>
      </c>
      <c r="Y21" s="3048"/>
    </row>
    <row r="22" spans="1:25" ht="92.4">
      <c r="A22" s="3048"/>
      <c r="B22" s="3048"/>
      <c r="C22" s="3048"/>
      <c r="D22" s="3048"/>
      <c r="E22" s="925" t="s">
        <v>1170</v>
      </c>
      <c r="F22" s="927"/>
      <c r="G22" s="941" t="s">
        <v>1163</v>
      </c>
      <c r="H22" s="925"/>
      <c r="I22" s="941" t="s">
        <v>1171</v>
      </c>
      <c r="J22" s="941" t="s">
        <v>1172</v>
      </c>
      <c r="K22" s="931">
        <v>1</v>
      </c>
      <c r="L22" s="932">
        <v>0.2</v>
      </c>
      <c r="M22" s="957">
        <v>0.46</v>
      </c>
      <c r="N22" s="961">
        <v>0.09</v>
      </c>
      <c r="O22" s="3053"/>
      <c r="P22" s="933">
        <v>620016750</v>
      </c>
      <c r="Q22" s="953">
        <f>P22</f>
        <v>620016750</v>
      </c>
      <c r="R22" s="953">
        <v>481744455</v>
      </c>
      <c r="S22" s="953">
        <v>45336927</v>
      </c>
      <c r="T22" s="961">
        <f t="shared" ref="T22:U22" si="13">IF(Q22=0,0,R22/Q22)</f>
        <v>0.77698619432458882</v>
      </c>
      <c r="U22" s="961">
        <f t="shared" si="13"/>
        <v>9.4109909370934011E-2</v>
      </c>
      <c r="V22" s="934">
        <v>45309</v>
      </c>
      <c r="W22" s="934">
        <v>45657</v>
      </c>
      <c r="X22" s="929" t="s">
        <v>1173</v>
      </c>
      <c r="Y22" s="3048"/>
    </row>
    <row r="23" spans="1:25" ht="27.6">
      <c r="A23" s="3049">
        <v>4134</v>
      </c>
      <c r="B23" s="944">
        <v>51010010022</v>
      </c>
      <c r="C23" s="944" t="s">
        <v>117</v>
      </c>
      <c r="D23" s="923" t="s">
        <v>1174</v>
      </c>
      <c r="E23" s="945"/>
      <c r="F23" s="922"/>
      <c r="G23" s="917"/>
      <c r="H23" s="954"/>
      <c r="I23" s="917"/>
      <c r="J23" s="917"/>
      <c r="K23" s="948"/>
      <c r="L23" s="948"/>
      <c r="M23" s="948"/>
      <c r="N23" s="950"/>
      <c r="O23" s="962"/>
      <c r="P23" s="949"/>
      <c r="Q23" s="949"/>
      <c r="R23" s="949"/>
      <c r="S23" s="949"/>
      <c r="T23" s="961"/>
      <c r="U23" s="961"/>
      <c r="V23" s="950"/>
      <c r="W23" s="951"/>
      <c r="X23" s="951"/>
      <c r="Y23" s="952"/>
    </row>
    <row r="24" spans="1:25">
      <c r="A24" s="3048"/>
      <c r="B24" s="3049"/>
      <c r="C24" s="3049" t="s">
        <v>123</v>
      </c>
      <c r="D24" s="3051" t="s">
        <v>1175</v>
      </c>
      <c r="E24" s="925" t="s">
        <v>1176</v>
      </c>
      <c r="F24" s="922"/>
      <c r="G24" s="913"/>
      <c r="H24" s="925"/>
      <c r="I24" s="941"/>
      <c r="J24" s="952"/>
      <c r="K24" s="931">
        <f t="shared" ref="K24:N24" si="14">+K25</f>
        <v>2</v>
      </c>
      <c r="L24" s="932">
        <f t="shared" si="14"/>
        <v>1</v>
      </c>
      <c r="M24" s="933">
        <f t="shared" si="14"/>
        <v>0</v>
      </c>
      <c r="N24" s="961">
        <f t="shared" si="14"/>
        <v>0.02</v>
      </c>
      <c r="O24" s="3052">
        <f>IF(Q24&gt;0,N24,"na")</f>
        <v>0.02</v>
      </c>
      <c r="P24" s="933">
        <v>70535250</v>
      </c>
      <c r="Q24" s="933">
        <f t="shared" ref="Q24:S24" si="15">Q25</f>
        <v>70535250</v>
      </c>
      <c r="R24" s="933">
        <f t="shared" si="15"/>
        <v>53576000</v>
      </c>
      <c r="S24" s="933">
        <f t="shared" si="15"/>
        <v>20131000</v>
      </c>
      <c r="T24" s="961">
        <f t="shared" ref="T24:U25" si="16">IF(Q24=0,0,R24/Q24)</f>
        <v>0.75956348067101198</v>
      </c>
      <c r="U24" s="961">
        <f t="shared" si="16"/>
        <v>0.37574660295654772</v>
      </c>
      <c r="V24" s="934"/>
      <c r="W24" s="934"/>
      <c r="X24" s="934"/>
      <c r="Y24" s="3047" t="s">
        <v>1145</v>
      </c>
    </row>
    <row r="25" spans="1:25" ht="118.8">
      <c r="A25" s="3048"/>
      <c r="B25" s="3048"/>
      <c r="C25" s="3048"/>
      <c r="D25" s="3048"/>
      <c r="E25" s="925" t="s">
        <v>1177</v>
      </c>
      <c r="F25" s="927"/>
      <c r="G25" s="941" t="s">
        <v>1174</v>
      </c>
      <c r="H25" s="925"/>
      <c r="I25" s="941" t="s">
        <v>1178</v>
      </c>
      <c r="J25" s="941" t="s">
        <v>1179</v>
      </c>
      <c r="K25" s="931">
        <v>2</v>
      </c>
      <c r="L25" s="932">
        <v>1</v>
      </c>
      <c r="M25" s="943">
        <v>0</v>
      </c>
      <c r="N25" s="961">
        <v>0.02</v>
      </c>
      <c r="O25" s="3053"/>
      <c r="P25" s="933">
        <v>70535250</v>
      </c>
      <c r="Q25" s="953">
        <f>P25</f>
        <v>70535250</v>
      </c>
      <c r="R25" s="953">
        <v>53576000</v>
      </c>
      <c r="S25" s="953">
        <v>20131000</v>
      </c>
      <c r="T25" s="961">
        <f t="shared" si="16"/>
        <v>0.75956348067101198</v>
      </c>
      <c r="U25" s="961">
        <f t="shared" si="16"/>
        <v>0.37574660295654772</v>
      </c>
      <c r="V25" s="934">
        <v>45338</v>
      </c>
      <c r="W25" s="934">
        <v>45657</v>
      </c>
      <c r="X25" s="935" t="s">
        <v>1180</v>
      </c>
      <c r="Y25" s="3048"/>
    </row>
    <row r="26" spans="1:25" ht="27.6">
      <c r="A26" s="958"/>
      <c r="B26" s="944">
        <v>51010010023</v>
      </c>
      <c r="C26" s="959" t="s">
        <v>117</v>
      </c>
      <c r="D26" s="923" t="s">
        <v>1181</v>
      </c>
      <c r="E26" s="925"/>
      <c r="F26" s="960"/>
      <c r="G26" s="941"/>
      <c r="H26" s="954"/>
      <c r="I26" s="941"/>
      <c r="J26" s="941"/>
      <c r="K26" s="931"/>
      <c r="L26" s="932"/>
      <c r="M26" s="932"/>
      <c r="N26" s="961"/>
      <c r="O26" s="961"/>
      <c r="P26" s="933"/>
      <c r="Q26" s="933"/>
      <c r="R26" s="933"/>
      <c r="S26" s="933"/>
      <c r="T26" s="961"/>
      <c r="U26" s="961"/>
      <c r="V26" s="961"/>
      <c r="W26" s="962"/>
      <c r="X26" s="962"/>
      <c r="Y26" s="963"/>
    </row>
    <row r="27" spans="1:25">
      <c r="A27" s="3049">
        <v>4134</v>
      </c>
      <c r="B27" s="3056"/>
      <c r="C27" s="3049" t="s">
        <v>123</v>
      </c>
      <c r="D27" s="3051" t="s">
        <v>1182</v>
      </c>
      <c r="E27" s="925" t="s">
        <v>1183</v>
      </c>
      <c r="F27" s="922"/>
      <c r="G27" s="941"/>
      <c r="H27" s="955"/>
      <c r="I27" s="941"/>
      <c r="J27" s="941"/>
      <c r="K27" s="933">
        <f t="shared" ref="K27:M27" si="17">K28</f>
        <v>1951</v>
      </c>
      <c r="L27" s="932">
        <f t="shared" si="17"/>
        <v>1</v>
      </c>
      <c r="M27" s="933">
        <f t="shared" si="17"/>
        <v>1595</v>
      </c>
      <c r="N27" s="961">
        <f>+N28</f>
        <v>0.19</v>
      </c>
      <c r="O27" s="3052">
        <f>IF(Q27&gt;0,N27,"na")</f>
        <v>0.19</v>
      </c>
      <c r="P27" s="933">
        <v>84807900</v>
      </c>
      <c r="Q27" s="933">
        <f t="shared" ref="Q27:S27" si="18">Q28</f>
        <v>84807900</v>
      </c>
      <c r="R27" s="933">
        <f t="shared" si="18"/>
        <v>70000000</v>
      </c>
      <c r="S27" s="933">
        <f t="shared" si="18"/>
        <v>52500000</v>
      </c>
      <c r="T27" s="961">
        <f t="shared" ref="T27:U28" si="19">IF(Q27=0,0,R27/Q27)</f>
        <v>0.8253948040217951</v>
      </c>
      <c r="U27" s="961">
        <f t="shared" si="19"/>
        <v>0.75</v>
      </c>
      <c r="V27" s="934"/>
      <c r="W27" s="934"/>
      <c r="X27" s="934"/>
      <c r="Y27" s="3047" t="s">
        <v>1149</v>
      </c>
    </row>
    <row r="28" spans="1:25" ht="92.4">
      <c r="A28" s="3048"/>
      <c r="B28" s="3048"/>
      <c r="C28" s="3048"/>
      <c r="D28" s="3048"/>
      <c r="E28" s="925" t="s">
        <v>1184</v>
      </c>
      <c r="F28" s="955"/>
      <c r="G28" s="941" t="s">
        <v>1181</v>
      </c>
      <c r="H28" s="955"/>
      <c r="I28" s="941" t="s">
        <v>1185</v>
      </c>
      <c r="J28" s="941" t="s">
        <v>1186</v>
      </c>
      <c r="K28" s="933">
        <v>1951</v>
      </c>
      <c r="L28" s="932">
        <v>1</v>
      </c>
      <c r="M28" s="943">
        <v>1595</v>
      </c>
      <c r="N28" s="961">
        <v>0.19</v>
      </c>
      <c r="O28" s="3053"/>
      <c r="P28" s="933">
        <v>84807900</v>
      </c>
      <c r="Q28" s="933">
        <f>P28</f>
        <v>84807900</v>
      </c>
      <c r="R28" s="933">
        <v>70000000</v>
      </c>
      <c r="S28" s="933">
        <v>52500000</v>
      </c>
      <c r="T28" s="961">
        <f t="shared" si="19"/>
        <v>0.8253948040217951</v>
      </c>
      <c r="U28" s="961">
        <f t="shared" si="19"/>
        <v>0.75</v>
      </c>
      <c r="V28" s="934">
        <v>45309</v>
      </c>
      <c r="W28" s="934">
        <v>45657</v>
      </c>
      <c r="X28" s="964" t="s">
        <v>1187</v>
      </c>
      <c r="Y28" s="3048"/>
    </row>
    <row r="29" spans="1:25">
      <c r="A29" s="3049">
        <v>4134</v>
      </c>
      <c r="B29" s="944">
        <v>51010010050</v>
      </c>
      <c r="C29" s="944" t="s">
        <v>117</v>
      </c>
      <c r="D29" s="923" t="s">
        <v>1188</v>
      </c>
      <c r="E29" s="922"/>
      <c r="F29" s="922"/>
      <c r="G29" s="941"/>
      <c r="H29" s="954"/>
      <c r="I29" s="937"/>
      <c r="J29" s="936"/>
      <c r="K29" s="965"/>
      <c r="L29" s="938"/>
      <c r="M29" s="943"/>
      <c r="N29" s="939"/>
      <c r="O29" s="962"/>
      <c r="P29" s="966"/>
      <c r="Q29" s="966"/>
      <c r="R29" s="966"/>
      <c r="S29" s="966"/>
      <c r="T29" s="961"/>
      <c r="U29" s="961"/>
      <c r="V29" s="939"/>
      <c r="W29" s="940"/>
      <c r="X29" s="940"/>
      <c r="Y29" s="963"/>
    </row>
    <row r="30" spans="1:25">
      <c r="A30" s="3048"/>
      <c r="B30" s="3049"/>
      <c r="C30" s="3049" t="s">
        <v>123</v>
      </c>
      <c r="D30" s="3051" t="s">
        <v>1189</v>
      </c>
      <c r="E30" s="925" t="s">
        <v>1190</v>
      </c>
      <c r="F30" s="922"/>
      <c r="G30" s="913"/>
      <c r="H30" s="947"/>
      <c r="I30" s="942"/>
      <c r="J30" s="941"/>
      <c r="K30" s="943">
        <f t="shared" ref="K30:L30" si="20">K31</f>
        <v>2</v>
      </c>
      <c r="L30" s="932">
        <f t="shared" si="20"/>
        <v>1</v>
      </c>
      <c r="M30" s="943">
        <f t="shared" ref="M30:N30" si="21">+M31</f>
        <v>0</v>
      </c>
      <c r="N30" s="961">
        <f t="shared" si="21"/>
        <v>0.152</v>
      </c>
      <c r="O30" s="3052">
        <f>IF(Q30&gt;0,N30,"na")</f>
        <v>0.152</v>
      </c>
      <c r="P30" s="933">
        <f t="shared" ref="P30:S30" si="22">P31</f>
        <v>45172575</v>
      </c>
      <c r="Q30" s="933">
        <f t="shared" si="22"/>
        <v>45172575</v>
      </c>
      <c r="R30" s="933">
        <f t="shared" si="22"/>
        <v>41796000</v>
      </c>
      <c r="S30" s="933">
        <f t="shared" si="22"/>
        <v>20590000</v>
      </c>
      <c r="T30" s="961">
        <f t="shared" ref="T30:U31" si="23">IF(Q30=0,0,R30/Q30)</f>
        <v>0.92525165988434355</v>
      </c>
      <c r="U30" s="961">
        <f t="shared" si="23"/>
        <v>0.49263087376782466</v>
      </c>
      <c r="V30" s="934"/>
      <c r="W30" s="934"/>
      <c r="X30" s="934"/>
      <c r="Y30" s="3047" t="s">
        <v>1145</v>
      </c>
    </row>
    <row r="31" spans="1:25" ht="92.4">
      <c r="A31" s="3048"/>
      <c r="B31" s="3048"/>
      <c r="C31" s="3048"/>
      <c r="D31" s="3048"/>
      <c r="E31" s="925" t="s">
        <v>1191</v>
      </c>
      <c r="F31" s="927"/>
      <c r="G31" s="941" t="s">
        <v>1188</v>
      </c>
      <c r="H31" s="925"/>
      <c r="I31" s="941" t="s">
        <v>1192</v>
      </c>
      <c r="J31" s="941" t="s">
        <v>1193</v>
      </c>
      <c r="K31" s="943">
        <v>2</v>
      </c>
      <c r="L31" s="932">
        <v>1</v>
      </c>
      <c r="M31" s="943">
        <v>0</v>
      </c>
      <c r="N31" s="961">
        <v>0.152</v>
      </c>
      <c r="O31" s="3053"/>
      <c r="P31" s="953">
        <v>45172575</v>
      </c>
      <c r="Q31" s="953">
        <f>P31</f>
        <v>45172575</v>
      </c>
      <c r="R31" s="953">
        <v>41796000</v>
      </c>
      <c r="S31" s="953">
        <v>20590000</v>
      </c>
      <c r="T31" s="961">
        <f t="shared" si="23"/>
        <v>0.92525165988434355</v>
      </c>
      <c r="U31" s="961">
        <f t="shared" si="23"/>
        <v>0.49263087376782466</v>
      </c>
      <c r="V31" s="934">
        <v>45311</v>
      </c>
      <c r="W31" s="934">
        <v>45657</v>
      </c>
      <c r="X31" s="935" t="s">
        <v>1194</v>
      </c>
      <c r="Y31" s="3048"/>
    </row>
    <row r="32" spans="1:25" ht="15.6">
      <c r="A32" s="967"/>
      <c r="B32" s="968">
        <v>54</v>
      </c>
      <c r="C32" s="968" t="s">
        <v>114</v>
      </c>
      <c r="D32" s="969" t="s">
        <v>122</v>
      </c>
      <c r="E32" s="914"/>
      <c r="F32" s="922"/>
      <c r="G32" s="941"/>
      <c r="H32" s="954"/>
      <c r="I32" s="970"/>
      <c r="J32" s="970"/>
      <c r="K32" s="971"/>
      <c r="L32" s="971"/>
      <c r="M32" s="943"/>
      <c r="N32" s="973"/>
      <c r="O32" s="962"/>
      <c r="P32" s="972"/>
      <c r="Q32" s="972"/>
      <c r="R32" s="972"/>
      <c r="S32" s="972"/>
      <c r="T32" s="961"/>
      <c r="U32" s="961"/>
      <c r="V32" s="973"/>
      <c r="W32" s="974"/>
      <c r="X32" s="974"/>
      <c r="Y32" s="975"/>
    </row>
    <row r="33" spans="1:25" ht="15.6">
      <c r="A33" s="958"/>
      <c r="B33" s="968">
        <v>5402</v>
      </c>
      <c r="C33" s="968" t="s">
        <v>115</v>
      </c>
      <c r="D33" s="976" t="s">
        <v>118</v>
      </c>
      <c r="E33" s="925"/>
      <c r="F33" s="922"/>
      <c r="G33" s="941"/>
      <c r="H33" s="954"/>
      <c r="I33" s="975"/>
      <c r="J33" s="977"/>
      <c r="K33" s="978"/>
      <c r="L33" s="978"/>
      <c r="M33" s="943"/>
      <c r="N33" s="980"/>
      <c r="O33" s="962"/>
      <c r="P33" s="979"/>
      <c r="Q33" s="979"/>
      <c r="R33" s="979"/>
      <c r="S33" s="979"/>
      <c r="T33" s="961"/>
      <c r="U33" s="961"/>
      <c r="V33" s="980"/>
      <c r="W33" s="981"/>
      <c r="X33" s="981"/>
      <c r="Y33" s="975"/>
    </row>
    <row r="34" spans="1:25" ht="14.4">
      <c r="A34" s="958"/>
      <c r="B34" s="982">
        <v>5402001</v>
      </c>
      <c r="C34" s="982" t="s">
        <v>116</v>
      </c>
      <c r="D34" s="983" t="s">
        <v>119</v>
      </c>
      <c r="E34" s="925"/>
      <c r="F34" s="922"/>
      <c r="G34" s="941"/>
      <c r="H34" s="954"/>
      <c r="I34" s="975"/>
      <c r="J34" s="977"/>
      <c r="K34" s="978"/>
      <c r="L34" s="978"/>
      <c r="M34" s="943"/>
      <c r="N34" s="980"/>
      <c r="O34" s="962"/>
      <c r="P34" s="979"/>
      <c r="Q34" s="979"/>
      <c r="R34" s="979"/>
      <c r="S34" s="979"/>
      <c r="T34" s="961"/>
      <c r="U34" s="961"/>
      <c r="V34" s="980"/>
      <c r="W34" s="981"/>
      <c r="X34" s="981"/>
      <c r="Y34" s="975"/>
    </row>
    <row r="35" spans="1:25">
      <c r="A35" s="984"/>
      <c r="B35" s="985">
        <v>54020010022</v>
      </c>
      <c r="C35" s="944" t="s">
        <v>117</v>
      </c>
      <c r="D35" s="923" t="s">
        <v>1195</v>
      </c>
      <c r="E35" s="922"/>
      <c r="F35" s="960"/>
      <c r="G35" s="941"/>
      <c r="H35" s="925"/>
      <c r="I35" s="936"/>
      <c r="J35" s="936"/>
      <c r="K35" s="986"/>
      <c r="L35" s="938"/>
      <c r="M35" s="943"/>
      <c r="N35" s="939"/>
      <c r="O35" s="962"/>
      <c r="P35" s="966"/>
      <c r="Q35" s="966"/>
      <c r="R35" s="966"/>
      <c r="S35" s="966"/>
      <c r="T35" s="961"/>
      <c r="U35" s="961"/>
      <c r="V35" s="939"/>
      <c r="W35" s="940"/>
      <c r="X35" s="940"/>
      <c r="Y35" s="963"/>
    </row>
    <row r="36" spans="1:25">
      <c r="A36" s="3049">
        <v>4134</v>
      </c>
      <c r="B36" s="3057"/>
      <c r="C36" s="3049" t="s">
        <v>123</v>
      </c>
      <c r="D36" s="3051" t="s">
        <v>1196</v>
      </c>
      <c r="E36" s="925" t="s">
        <v>1197</v>
      </c>
      <c r="F36" s="922"/>
      <c r="G36" s="913"/>
      <c r="H36" s="955"/>
      <c r="I36" s="941"/>
      <c r="J36" s="941"/>
      <c r="K36" s="931">
        <f t="shared" ref="K36:L36" si="24">K37</f>
        <v>1</v>
      </c>
      <c r="L36" s="932">
        <f t="shared" si="24"/>
        <v>1</v>
      </c>
      <c r="M36" s="957">
        <f t="shared" ref="M36:N36" si="25">+M37</f>
        <v>1</v>
      </c>
      <c r="N36" s="961">
        <f t="shared" si="25"/>
        <v>0.22500000000000001</v>
      </c>
      <c r="O36" s="3052">
        <f>IF(Q36&gt;0,N36,"na")</f>
        <v>0.22500000000000001</v>
      </c>
      <c r="P36" s="933">
        <f t="shared" ref="P36:S36" si="26">P37</f>
        <v>769548375</v>
      </c>
      <c r="Q36" s="933">
        <f t="shared" si="26"/>
        <v>769548375</v>
      </c>
      <c r="R36" s="933">
        <f t="shared" si="26"/>
        <v>742030000</v>
      </c>
      <c r="S36" s="933">
        <f t="shared" si="26"/>
        <v>501619000</v>
      </c>
      <c r="T36" s="961">
        <f t="shared" ref="T36:U37" si="27">IF(Q36=0,0,R36/Q36)</f>
        <v>0.9642408769948998</v>
      </c>
      <c r="U36" s="961">
        <f t="shared" si="27"/>
        <v>0.67600905623761842</v>
      </c>
      <c r="V36" s="934"/>
      <c r="W36" s="934"/>
      <c r="X36" s="934"/>
      <c r="Y36" s="3047" t="s">
        <v>1198</v>
      </c>
    </row>
    <row r="37" spans="1:25" ht="184.8">
      <c r="A37" s="3048"/>
      <c r="B37" s="3048"/>
      <c r="C37" s="3048"/>
      <c r="D37" s="3048"/>
      <c r="E37" s="925" t="s">
        <v>1199</v>
      </c>
      <c r="F37" s="955"/>
      <c r="G37" s="941" t="s">
        <v>1195</v>
      </c>
      <c r="H37" s="955"/>
      <c r="I37" s="941" t="s">
        <v>1200</v>
      </c>
      <c r="J37" s="941" t="s">
        <v>1201</v>
      </c>
      <c r="K37" s="931">
        <v>1</v>
      </c>
      <c r="L37" s="932">
        <v>1</v>
      </c>
      <c r="M37" s="957">
        <v>1</v>
      </c>
      <c r="N37" s="961">
        <v>0.22500000000000001</v>
      </c>
      <c r="O37" s="3053"/>
      <c r="P37" s="933">
        <v>769548375</v>
      </c>
      <c r="Q37" s="933">
        <f>P37</f>
        <v>769548375</v>
      </c>
      <c r="R37" s="933">
        <v>742030000</v>
      </c>
      <c r="S37" s="933">
        <v>501619000</v>
      </c>
      <c r="T37" s="961">
        <f t="shared" si="27"/>
        <v>0.9642408769948998</v>
      </c>
      <c r="U37" s="961">
        <f t="shared" si="27"/>
        <v>0.67600905623761842</v>
      </c>
      <c r="V37" s="934">
        <v>45309</v>
      </c>
      <c r="W37" s="934">
        <v>45657</v>
      </c>
      <c r="X37" s="935" t="s">
        <v>1202</v>
      </c>
      <c r="Y37" s="3048"/>
    </row>
    <row r="38" spans="1:25">
      <c r="A38" s="987"/>
      <c r="B38" s="988">
        <v>5402003</v>
      </c>
      <c r="C38" s="989" t="s">
        <v>116</v>
      </c>
      <c r="D38" s="990" t="s">
        <v>254</v>
      </c>
      <c r="E38" s="919"/>
      <c r="F38" s="922"/>
      <c r="G38" s="941"/>
      <c r="H38" s="925"/>
      <c r="I38" s="991"/>
      <c r="J38" s="991"/>
      <c r="K38" s="992"/>
      <c r="L38" s="993"/>
      <c r="M38" s="943"/>
      <c r="N38" s="995"/>
      <c r="O38" s="962"/>
      <c r="P38" s="994"/>
      <c r="Q38" s="994"/>
      <c r="R38" s="994"/>
      <c r="S38" s="994"/>
      <c r="T38" s="961"/>
      <c r="U38" s="961"/>
      <c r="V38" s="995"/>
      <c r="W38" s="996"/>
      <c r="X38" s="996"/>
      <c r="Y38" s="963"/>
    </row>
    <row r="39" spans="1:25">
      <c r="A39" s="987"/>
      <c r="B39" s="997">
        <v>54020030001</v>
      </c>
      <c r="C39" s="944" t="s">
        <v>117</v>
      </c>
      <c r="D39" s="923" t="s">
        <v>1203</v>
      </c>
      <c r="E39" s="919"/>
      <c r="F39" s="922"/>
      <c r="G39" s="941"/>
      <c r="H39" s="925"/>
      <c r="I39" s="991"/>
      <c r="J39" s="991"/>
      <c r="K39" s="992"/>
      <c r="L39" s="993"/>
      <c r="M39" s="943"/>
      <c r="N39" s="995"/>
      <c r="O39" s="962"/>
      <c r="P39" s="994"/>
      <c r="Q39" s="994"/>
      <c r="R39" s="994"/>
      <c r="S39" s="994"/>
      <c r="T39" s="961"/>
      <c r="U39" s="961"/>
      <c r="V39" s="995"/>
      <c r="W39" s="996"/>
      <c r="X39" s="996"/>
      <c r="Y39" s="963"/>
    </row>
    <row r="40" spans="1:25">
      <c r="A40" s="3049">
        <v>4134</v>
      </c>
      <c r="B40" s="3060"/>
      <c r="C40" s="3049" t="s">
        <v>123</v>
      </c>
      <c r="D40" s="3051" t="s">
        <v>1204</v>
      </c>
      <c r="E40" s="925" t="s">
        <v>1205</v>
      </c>
      <c r="F40" s="922"/>
      <c r="G40" s="941"/>
      <c r="H40" s="947"/>
      <c r="I40" s="991"/>
      <c r="J40" s="991"/>
      <c r="K40" s="931">
        <f>+K41+K42</f>
        <v>2</v>
      </c>
      <c r="L40" s="932">
        <f>L41+L42</f>
        <v>1</v>
      </c>
      <c r="M40" s="943">
        <f>+M42+M41</f>
        <v>0</v>
      </c>
      <c r="N40" s="961">
        <f>+N41+N42</f>
        <v>0.13500000000000001</v>
      </c>
      <c r="O40" s="3052">
        <f>IF(Q40&gt;0,N40,"na")</f>
        <v>0.13500000000000001</v>
      </c>
      <c r="P40" s="933">
        <f t="shared" ref="P40:Q40" si="28">+P41+P42</f>
        <v>791892435</v>
      </c>
      <c r="Q40" s="933">
        <f t="shared" si="28"/>
        <v>791892435</v>
      </c>
      <c r="R40" s="933">
        <f t="shared" ref="R40:S40" si="29">R41+R42</f>
        <v>155444000</v>
      </c>
      <c r="S40" s="933">
        <f t="shared" si="29"/>
        <v>17754000</v>
      </c>
      <c r="T40" s="961">
        <f t="shared" ref="T40:U42" si="30">IF(Q40=0,0,R40/Q40)</f>
        <v>0.19629433636400379</v>
      </c>
      <c r="U40" s="961">
        <f t="shared" si="30"/>
        <v>0.11421476544607705</v>
      </c>
      <c r="V40" s="934"/>
      <c r="W40" s="934"/>
      <c r="X40" s="934"/>
      <c r="Y40" s="3047" t="s">
        <v>1149</v>
      </c>
    </row>
    <row r="41" spans="1:25" ht="79.2">
      <c r="A41" s="3048"/>
      <c r="B41" s="3048"/>
      <c r="C41" s="3048"/>
      <c r="D41" s="3048"/>
      <c r="E41" s="925" t="s">
        <v>1206</v>
      </c>
      <c r="F41" s="922"/>
      <c r="G41" s="3058" t="s">
        <v>1203</v>
      </c>
      <c r="H41" s="947"/>
      <c r="I41" s="941" t="s">
        <v>1207</v>
      </c>
      <c r="J41" s="941" t="s">
        <v>1208</v>
      </c>
      <c r="K41" s="931">
        <v>1</v>
      </c>
      <c r="L41" s="932">
        <v>0.7</v>
      </c>
      <c r="M41" s="943">
        <v>0</v>
      </c>
      <c r="N41" s="961">
        <v>0.105</v>
      </c>
      <c r="O41" s="3053"/>
      <c r="P41" s="933">
        <v>689168685</v>
      </c>
      <c r="Q41" s="933">
        <v>689168685</v>
      </c>
      <c r="R41" s="933">
        <v>100000000</v>
      </c>
      <c r="S41" s="933">
        <v>0</v>
      </c>
      <c r="T41" s="961">
        <f t="shared" si="30"/>
        <v>0.14510235618149134</v>
      </c>
      <c r="U41" s="961">
        <f t="shared" si="30"/>
        <v>0</v>
      </c>
      <c r="V41" s="934">
        <v>45338</v>
      </c>
      <c r="W41" s="934">
        <v>45657</v>
      </c>
      <c r="X41" s="935" t="s">
        <v>1209</v>
      </c>
      <c r="Y41" s="3048"/>
    </row>
    <row r="42" spans="1:25" ht="79.2">
      <c r="A42" s="3048"/>
      <c r="B42" s="3048"/>
      <c r="C42" s="3048"/>
      <c r="D42" s="3048"/>
      <c r="E42" s="925" t="s">
        <v>1210</v>
      </c>
      <c r="F42" s="925"/>
      <c r="G42" s="3048"/>
      <c r="H42" s="947"/>
      <c r="I42" s="941" t="s">
        <v>1211</v>
      </c>
      <c r="J42" s="941" t="s">
        <v>1212</v>
      </c>
      <c r="K42" s="931">
        <v>1</v>
      </c>
      <c r="L42" s="932">
        <v>0.3</v>
      </c>
      <c r="M42" s="943">
        <v>0</v>
      </c>
      <c r="N42" s="961">
        <v>0.03</v>
      </c>
      <c r="O42" s="3053"/>
      <c r="P42" s="933">
        <v>102723750</v>
      </c>
      <c r="Q42" s="933">
        <v>102723750</v>
      </c>
      <c r="R42" s="933">
        <v>55444000</v>
      </c>
      <c r="S42" s="933">
        <v>17754000</v>
      </c>
      <c r="T42" s="961">
        <f t="shared" si="30"/>
        <v>0.5397388627264873</v>
      </c>
      <c r="U42" s="961">
        <f t="shared" si="30"/>
        <v>0.32021499170334033</v>
      </c>
      <c r="V42" s="934">
        <v>45338</v>
      </c>
      <c r="W42" s="934">
        <v>45657</v>
      </c>
      <c r="X42" s="935" t="s">
        <v>1213</v>
      </c>
      <c r="Y42" s="3048"/>
    </row>
    <row r="43" spans="1:25">
      <c r="A43" s="984"/>
      <c r="B43" s="997">
        <v>54020030002</v>
      </c>
      <c r="C43" s="944" t="s">
        <v>117</v>
      </c>
      <c r="D43" s="923" t="s">
        <v>1214</v>
      </c>
      <c r="E43" s="922"/>
      <c r="F43" s="927"/>
      <c r="G43" s="941"/>
      <c r="H43" s="925"/>
      <c r="I43" s="936"/>
      <c r="J43" s="936"/>
      <c r="K43" s="986"/>
      <c r="L43" s="938"/>
      <c r="M43" s="938"/>
      <c r="N43" s="939"/>
      <c r="O43" s="962"/>
      <c r="P43" s="966"/>
      <c r="Q43" s="966"/>
      <c r="R43" s="966"/>
      <c r="S43" s="966"/>
      <c r="T43" s="961"/>
      <c r="U43" s="961"/>
      <c r="V43" s="939"/>
      <c r="W43" s="940"/>
      <c r="X43" s="940"/>
      <c r="Y43" s="963"/>
    </row>
    <row r="44" spans="1:25">
      <c r="A44" s="3049">
        <v>4134</v>
      </c>
      <c r="B44" s="3059"/>
      <c r="C44" s="3049" t="s">
        <v>123</v>
      </c>
      <c r="D44" s="3051" t="s">
        <v>1215</v>
      </c>
      <c r="E44" s="925" t="s">
        <v>1216</v>
      </c>
      <c r="F44" s="922"/>
      <c r="G44" s="913"/>
      <c r="H44" s="998"/>
      <c r="I44" s="941"/>
      <c r="J44" s="941"/>
      <c r="K44" s="961">
        <f t="shared" ref="K44:L44" si="31">K45</f>
        <v>0.8</v>
      </c>
      <c r="L44" s="932">
        <f t="shared" si="31"/>
        <v>1</v>
      </c>
      <c r="M44" s="932">
        <f t="shared" ref="M44:N44" si="32">+M45</f>
        <v>0.8</v>
      </c>
      <c r="N44" s="961">
        <f t="shared" si="32"/>
        <v>0.221</v>
      </c>
      <c r="O44" s="3052">
        <f>IF(Q44&gt;0,N44,"na")</f>
        <v>0.221</v>
      </c>
      <c r="P44" s="933">
        <f t="shared" ref="P44:S44" si="33">P45</f>
        <v>4914158725</v>
      </c>
      <c r="Q44" s="933">
        <f t="shared" si="33"/>
        <v>4914158725</v>
      </c>
      <c r="R44" s="933">
        <f t="shared" si="33"/>
        <v>887211000</v>
      </c>
      <c r="S44" s="933">
        <f t="shared" si="33"/>
        <v>211407000</v>
      </c>
      <c r="T44" s="961">
        <f t="shared" ref="T44:U45" si="34">IF(Q44=0,0,R44/Q44)</f>
        <v>0.18054178744501176</v>
      </c>
      <c r="U44" s="961">
        <f t="shared" si="34"/>
        <v>0.23828266331233494</v>
      </c>
      <c r="V44" s="934"/>
      <c r="W44" s="934"/>
      <c r="X44" s="934"/>
      <c r="Y44" s="3047" t="s">
        <v>1149</v>
      </c>
    </row>
    <row r="45" spans="1:25" ht="92.4">
      <c r="A45" s="3048"/>
      <c r="B45" s="3048"/>
      <c r="C45" s="3048"/>
      <c r="D45" s="3048"/>
      <c r="E45" s="925" t="s">
        <v>1217</v>
      </c>
      <c r="F45" s="925"/>
      <c r="G45" s="941" t="s">
        <v>1214</v>
      </c>
      <c r="H45" s="998"/>
      <c r="I45" s="941" t="s">
        <v>1218</v>
      </c>
      <c r="J45" s="941" t="s">
        <v>1219</v>
      </c>
      <c r="K45" s="961">
        <v>0.8</v>
      </c>
      <c r="L45" s="932">
        <v>1</v>
      </c>
      <c r="M45" s="932">
        <v>0.8</v>
      </c>
      <c r="N45" s="961">
        <v>0.221</v>
      </c>
      <c r="O45" s="3053"/>
      <c r="P45" s="933">
        <v>4914158725</v>
      </c>
      <c r="Q45" s="933">
        <f>P45</f>
        <v>4914158725</v>
      </c>
      <c r="R45" s="933">
        <v>887211000</v>
      </c>
      <c r="S45" s="933">
        <v>211407000</v>
      </c>
      <c r="T45" s="961">
        <f t="shared" si="34"/>
        <v>0.18054178744501176</v>
      </c>
      <c r="U45" s="961">
        <f t="shared" si="34"/>
        <v>0.23828266331233494</v>
      </c>
      <c r="V45" s="934">
        <v>45309</v>
      </c>
      <c r="W45" s="934">
        <v>45657</v>
      </c>
      <c r="X45" s="935" t="s">
        <v>1220</v>
      </c>
      <c r="Y45" s="3048"/>
    </row>
    <row r="46" spans="1:25">
      <c r="A46" s="984"/>
      <c r="B46" s="985">
        <v>54020030013</v>
      </c>
      <c r="C46" s="944" t="s">
        <v>117</v>
      </c>
      <c r="D46" s="923" t="s">
        <v>1221</v>
      </c>
      <c r="E46" s="999"/>
      <c r="F46" s="962"/>
      <c r="G46" s="941"/>
      <c r="H46" s="962"/>
      <c r="I46" s="913"/>
      <c r="J46" s="922"/>
      <c r="K46" s="986"/>
      <c r="L46" s="938"/>
      <c r="M46" s="938"/>
      <c r="N46" s="939"/>
      <c r="O46" s="962"/>
      <c r="P46" s="966"/>
      <c r="Q46" s="966"/>
      <c r="R46" s="966"/>
      <c r="S46" s="966"/>
      <c r="T46" s="961"/>
      <c r="U46" s="961"/>
      <c r="V46" s="939"/>
      <c r="W46" s="940"/>
      <c r="X46" s="940"/>
      <c r="Y46" s="963"/>
    </row>
    <row r="47" spans="1:25">
      <c r="A47" s="3049">
        <v>4134</v>
      </c>
      <c r="B47" s="3049"/>
      <c r="C47" s="3049" t="s">
        <v>123</v>
      </c>
      <c r="D47" s="3051" t="s">
        <v>1222</v>
      </c>
      <c r="E47" s="925" t="s">
        <v>1223</v>
      </c>
      <c r="F47" s="922"/>
      <c r="G47" s="913"/>
      <c r="H47" s="962"/>
      <c r="I47" s="929"/>
      <c r="J47" s="929"/>
      <c r="K47" s="931">
        <f t="shared" ref="K47:L47" si="35">K48</f>
        <v>1</v>
      </c>
      <c r="L47" s="932">
        <f t="shared" si="35"/>
        <v>1</v>
      </c>
      <c r="M47" s="932">
        <f t="shared" ref="M47:N47" si="36">+M48</f>
        <v>0</v>
      </c>
      <c r="N47" s="961">
        <f t="shared" si="36"/>
        <v>0.17</v>
      </c>
      <c r="O47" s="3052">
        <f>IF(Q47&gt;0,N47,"na")</f>
        <v>0.17</v>
      </c>
      <c r="P47" s="933">
        <f t="shared" ref="P47:S47" si="37">P48</f>
        <v>2390296575</v>
      </c>
      <c r="Q47" s="933">
        <f t="shared" si="37"/>
        <v>2390296575</v>
      </c>
      <c r="R47" s="933">
        <f t="shared" si="37"/>
        <v>1272799876</v>
      </c>
      <c r="S47" s="933">
        <f t="shared" si="37"/>
        <v>743693749</v>
      </c>
      <c r="T47" s="961">
        <f t="shared" ref="T47:U48" si="38">IF(Q47=0,0,R47/Q47)</f>
        <v>0.53248617318543412</v>
      </c>
      <c r="U47" s="961">
        <f t="shared" si="38"/>
        <v>0.58429747128605158</v>
      </c>
      <c r="V47" s="934"/>
      <c r="W47" s="934"/>
      <c r="X47" s="934"/>
      <c r="Y47" s="3047" t="s">
        <v>1149</v>
      </c>
    </row>
    <row r="48" spans="1:25" ht="92.4">
      <c r="A48" s="3061"/>
      <c r="B48" s="3061"/>
      <c r="C48" s="3061"/>
      <c r="D48" s="3061"/>
      <c r="E48" s="1000" t="s">
        <v>1224</v>
      </c>
      <c r="F48" s="1001"/>
      <c r="G48" s="1002" t="s">
        <v>1221</v>
      </c>
      <c r="H48" s="1003"/>
      <c r="I48" s="1002" t="s">
        <v>1225</v>
      </c>
      <c r="J48" s="1002" t="s">
        <v>1226</v>
      </c>
      <c r="K48" s="1004">
        <v>1</v>
      </c>
      <c r="L48" s="1005">
        <v>1</v>
      </c>
      <c r="M48" s="1006">
        <v>0</v>
      </c>
      <c r="N48" s="1007">
        <v>0.17</v>
      </c>
      <c r="O48" s="3062"/>
      <c r="P48" s="1008">
        <v>2390296575</v>
      </c>
      <c r="Q48" s="1008">
        <f>P48</f>
        <v>2390296575</v>
      </c>
      <c r="R48" s="1008">
        <v>1272799876</v>
      </c>
      <c r="S48" s="1009">
        <v>743693749</v>
      </c>
      <c r="T48" s="1007">
        <f t="shared" si="38"/>
        <v>0.53248617318543412</v>
      </c>
      <c r="U48" s="1007">
        <f t="shared" si="38"/>
        <v>0.58429747128605158</v>
      </c>
      <c r="V48" s="1010">
        <v>45309</v>
      </c>
      <c r="W48" s="1010">
        <v>45657</v>
      </c>
      <c r="X48" s="1011" t="s">
        <v>1227</v>
      </c>
      <c r="Y48" s="3061"/>
    </row>
    <row r="49" spans="1:25">
      <c r="A49" s="906"/>
      <c r="B49" s="905"/>
      <c r="C49" s="905"/>
      <c r="D49" s="906"/>
      <c r="E49" s="906"/>
      <c r="F49" s="906"/>
      <c r="G49" s="906"/>
      <c r="H49" s="906"/>
      <c r="I49" s="906"/>
      <c r="J49" s="905"/>
      <c r="K49" s="906"/>
      <c r="L49" s="906"/>
      <c r="M49" s="906"/>
      <c r="N49" s="906"/>
      <c r="O49" s="906"/>
      <c r="P49" s="906"/>
      <c r="Q49" s="906"/>
      <c r="R49" s="906"/>
      <c r="S49" s="906"/>
      <c r="T49" s="906"/>
      <c r="U49" s="906"/>
      <c r="V49" s="906"/>
      <c r="W49" s="906"/>
      <c r="X49" s="906"/>
      <c r="Y49" s="906"/>
    </row>
    <row r="50" spans="1:25" s="46" customFormat="1">
      <c r="A50" s="52"/>
      <c r="B50" s="53" t="s">
        <v>50</v>
      </c>
      <c r="C50" s="53">
        <f>COUNTIF(C11:C48,"pr")</f>
        <v>11</v>
      </c>
      <c r="D50" s="52"/>
      <c r="E50" s="624" t="s">
        <v>126</v>
      </c>
      <c r="F50" s="625"/>
      <c r="G50" s="625">
        <f>COUNTIF(O11:O48,"na")</f>
        <v>0</v>
      </c>
      <c r="H50" s="752"/>
      <c r="I50" s="624"/>
      <c r="J50" s="625"/>
      <c r="K50" s="627"/>
      <c r="L50" s="627"/>
      <c r="M50" s="624"/>
      <c r="N50" s="625" t="s">
        <v>127</v>
      </c>
      <c r="O50" s="628">
        <f>+AVERAGE(O11:O48)</f>
        <v>0.15390909090909091</v>
      </c>
      <c r="P50" s="55">
        <f t="shared" ref="P50:S50" si="39">+P47+P44+P40+P36+P30+P27+P24+P20+P17+P14+P11</f>
        <v>11000000000</v>
      </c>
      <c r="Q50" s="55">
        <f t="shared" si="39"/>
        <v>11000000000</v>
      </c>
      <c r="R50" s="55">
        <f t="shared" si="39"/>
        <v>4127115331</v>
      </c>
      <c r="S50" s="55">
        <f t="shared" si="39"/>
        <v>1877685676</v>
      </c>
      <c r="T50" s="112">
        <f t="shared" ref="T50" si="40">IF(Q50=0,0,R50/Q50)</f>
        <v>0.37519230281818183</v>
      </c>
      <c r="U50" s="112">
        <f t="shared" ref="U50" si="41">IF(R50=0,0,S50/R50)</f>
        <v>0.45496321895735264</v>
      </c>
      <c r="V50" s="52"/>
      <c r="W50" s="52"/>
      <c r="X50" s="52"/>
      <c r="Y50" s="52"/>
    </row>
    <row r="51" spans="1:25">
      <c r="A51" s="906"/>
      <c r="B51" s="905"/>
      <c r="C51" s="905"/>
      <c r="D51" s="906"/>
      <c r="E51" s="625"/>
      <c r="F51" s="624"/>
      <c r="G51" s="624"/>
      <c r="H51" s="752"/>
      <c r="I51" s="624"/>
      <c r="J51" s="625"/>
      <c r="K51" s="627"/>
      <c r="L51" s="627"/>
      <c r="M51" s="624"/>
      <c r="N51" s="632" t="s">
        <v>133</v>
      </c>
      <c r="O51" s="633">
        <f>COUNTIF(O11:O48,"=0%")</f>
        <v>0</v>
      </c>
      <c r="P51" s="55">
        <v>11000000000</v>
      </c>
      <c r="Q51" s="55">
        <v>11000000000</v>
      </c>
      <c r="R51" s="55">
        <v>4127115331</v>
      </c>
      <c r="S51" s="55">
        <v>1877685676</v>
      </c>
      <c r="T51" s="906"/>
      <c r="U51" s="906"/>
      <c r="V51" s="906"/>
      <c r="W51" s="906"/>
      <c r="X51" s="906"/>
      <c r="Y51" s="906"/>
    </row>
  </sheetData>
  <mergeCells count="99">
    <mergeCell ref="Y47:Y48"/>
    <mergeCell ref="A47:A48"/>
    <mergeCell ref="B47:B48"/>
    <mergeCell ref="C47:C48"/>
    <mergeCell ref="D47:D48"/>
    <mergeCell ref="O47:O48"/>
    <mergeCell ref="Y40:Y42"/>
    <mergeCell ref="G41:G42"/>
    <mergeCell ref="A44:A45"/>
    <mergeCell ref="B44:B45"/>
    <mergeCell ref="C44:C45"/>
    <mergeCell ref="D44:D45"/>
    <mergeCell ref="O44:O45"/>
    <mergeCell ref="Y44:Y45"/>
    <mergeCell ref="A40:A42"/>
    <mergeCell ref="B40:B42"/>
    <mergeCell ref="C40:C42"/>
    <mergeCell ref="D40:D42"/>
    <mergeCell ref="O40:O42"/>
    <mergeCell ref="Y30:Y31"/>
    <mergeCell ref="A36:A37"/>
    <mergeCell ref="B36:B37"/>
    <mergeCell ref="C36:C37"/>
    <mergeCell ref="D36:D37"/>
    <mergeCell ref="O36:O37"/>
    <mergeCell ref="Y36:Y37"/>
    <mergeCell ref="A29:A31"/>
    <mergeCell ref="B30:B31"/>
    <mergeCell ref="C30:C31"/>
    <mergeCell ref="D30:D31"/>
    <mergeCell ref="O30:O31"/>
    <mergeCell ref="Y24:Y25"/>
    <mergeCell ref="A27:A28"/>
    <mergeCell ref="B27:B28"/>
    <mergeCell ref="C27:C28"/>
    <mergeCell ref="D27:D28"/>
    <mergeCell ref="O27:O28"/>
    <mergeCell ref="Y27:Y28"/>
    <mergeCell ref="A23:A25"/>
    <mergeCell ref="B24:B25"/>
    <mergeCell ref="C24:C25"/>
    <mergeCell ref="D24:D25"/>
    <mergeCell ref="O24:O25"/>
    <mergeCell ref="Y17:Y18"/>
    <mergeCell ref="A19:A22"/>
    <mergeCell ref="B20:B22"/>
    <mergeCell ref="C20:C22"/>
    <mergeCell ref="D20:D22"/>
    <mergeCell ref="O20:O22"/>
    <mergeCell ref="Y20:Y22"/>
    <mergeCell ref="A16:A18"/>
    <mergeCell ref="B17:B18"/>
    <mergeCell ref="C17:C18"/>
    <mergeCell ref="D17:D18"/>
    <mergeCell ref="O17:O18"/>
    <mergeCell ref="Y12:Y13"/>
    <mergeCell ref="A14:A15"/>
    <mergeCell ref="B14:B15"/>
    <mergeCell ref="C14:C15"/>
    <mergeCell ref="D14:D15"/>
    <mergeCell ref="O14:O15"/>
    <mergeCell ref="Y14:Y15"/>
    <mergeCell ref="A11:A12"/>
    <mergeCell ref="B11:B12"/>
    <mergeCell ref="C11:C12"/>
    <mergeCell ref="D11:D12"/>
    <mergeCell ref="O11:O12"/>
    <mergeCell ref="A1:X1"/>
    <mergeCell ref="D5:D6"/>
    <mergeCell ref="E5:E6"/>
    <mergeCell ref="M5:M6"/>
    <mergeCell ref="Q5:Q6"/>
    <mergeCell ref="B5:B6"/>
    <mergeCell ref="I5:I6"/>
    <mergeCell ref="A3:B3"/>
    <mergeCell ref="U5:U6"/>
    <mergeCell ref="V5:V6"/>
    <mergeCell ref="F5:F6"/>
    <mergeCell ref="A2:Y2"/>
    <mergeCell ref="R5:R6"/>
    <mergeCell ref="L5:L6"/>
    <mergeCell ref="A4:Y4"/>
    <mergeCell ref="H5:H6"/>
    <mergeCell ref="Y5:Y6"/>
    <mergeCell ref="X5:X6"/>
    <mergeCell ref="J5:J6"/>
    <mergeCell ref="A5:A6"/>
    <mergeCell ref="V3:W3"/>
    <mergeCell ref="C3:R3"/>
    <mergeCell ref="S3:U3"/>
    <mergeCell ref="C5:C6"/>
    <mergeCell ref="G5:G6"/>
    <mergeCell ref="W5:W6"/>
    <mergeCell ref="S5:S6"/>
    <mergeCell ref="K5:K6"/>
    <mergeCell ref="P5:P6"/>
    <mergeCell ref="N5:N6"/>
    <mergeCell ref="T5:T6"/>
    <mergeCell ref="O5:O6"/>
  </mergeCells>
  <dataValidations count="1">
    <dataValidation type="decimal" operator="greaterThanOrEqual" allowBlank="1" showErrorMessage="1" sqref="P22 P24:P25" xr:uid="{84E2D264-CF67-4104-AD54-88CC23B6595F}">
      <formula1>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28</vt:i4>
      </vt:variant>
    </vt:vector>
  </HeadingPairs>
  <TitlesOfParts>
    <vt:vector size="56" baseType="lpstr">
      <vt:lpstr>Marzo de 2024</vt:lpstr>
      <vt:lpstr>4112 Gobierno</vt:lpstr>
      <vt:lpstr>4121 Juridica</vt:lpstr>
      <vt:lpstr>4123 Control Interno</vt:lpstr>
      <vt:lpstr>4124 D Control Disciplinario</vt:lpstr>
      <vt:lpstr>4131 Hacienda</vt:lpstr>
      <vt:lpstr>4132 Planeacion</vt:lpstr>
      <vt:lpstr>4133 Dagma</vt:lpstr>
      <vt:lpstr>4134 DATIC</vt:lpstr>
      <vt:lpstr>4135 Contratacion</vt:lpstr>
      <vt:lpstr>4137 DADII</vt:lpstr>
      <vt:lpstr>4143 Educacion</vt:lpstr>
      <vt:lpstr>4145 Salud</vt:lpstr>
      <vt:lpstr>4146 Bienestar Social</vt:lpstr>
      <vt:lpstr>4147 Vivienda</vt:lpstr>
      <vt:lpstr>4148 Cultura</vt:lpstr>
      <vt:lpstr>4151 Infraestructura</vt:lpstr>
      <vt:lpstr>4152 Movilidad</vt:lpstr>
      <vt:lpstr>4161 Seguridad y Justicia</vt:lpstr>
      <vt:lpstr>4162 Deporte</vt:lpstr>
      <vt:lpstr>4163 Riesgo</vt:lpstr>
      <vt:lpstr>4164 Paz y CC</vt:lpstr>
      <vt:lpstr>4171 Desarrollo Eco</vt:lpstr>
      <vt:lpstr>4172 Turismo</vt:lpstr>
      <vt:lpstr>4173 Desarrollo Territorial</vt:lpstr>
      <vt:lpstr>4181 Bienes y Servicios</vt:lpstr>
      <vt:lpstr>4182 Servicios Publicos</vt:lpstr>
      <vt:lpstr>4181 Protección Animal</vt:lpstr>
      <vt:lpstr>'4147 Vivienda'!Área_de_impresión</vt:lpstr>
      <vt:lpstr>'4112 Gobierno'!Títulos_a_imprimir</vt:lpstr>
      <vt:lpstr>'4121 Juridica'!Títulos_a_imprimir</vt:lpstr>
      <vt:lpstr>'4123 Control Interno'!Títulos_a_imprimir</vt:lpstr>
      <vt:lpstr>'4124 D Control Disciplinario'!Títulos_a_imprimir</vt:lpstr>
      <vt:lpstr>'4131 Hacienda'!Títulos_a_imprimir</vt:lpstr>
      <vt:lpstr>'4132 Planeacion'!Títulos_a_imprimir</vt:lpstr>
      <vt:lpstr>'4133 Dagma'!Títulos_a_imprimir</vt:lpstr>
      <vt:lpstr>'4134 DATIC'!Títulos_a_imprimir</vt:lpstr>
      <vt:lpstr>'4135 Contratacion'!Títulos_a_imprimir</vt:lpstr>
      <vt:lpstr>'4137 DADII'!Títulos_a_imprimir</vt:lpstr>
      <vt:lpstr>'4143 Educacion'!Títulos_a_imprimir</vt:lpstr>
      <vt:lpstr>'4145 Salud'!Títulos_a_imprimir</vt:lpstr>
      <vt:lpstr>'4146 Bienestar Social'!Títulos_a_imprimir</vt:lpstr>
      <vt:lpstr>'4147 Vivienda'!Títulos_a_imprimir</vt:lpstr>
      <vt:lpstr>'4148 Cultura'!Títulos_a_imprimir</vt:lpstr>
      <vt:lpstr>'4151 Infraestructura'!Títulos_a_imprimir</vt:lpstr>
      <vt:lpstr>'4152 Movilidad'!Títulos_a_imprimir</vt:lpstr>
      <vt:lpstr>'4161 Seguridad y Justicia'!Títulos_a_imprimir</vt:lpstr>
      <vt:lpstr>'4162 Deporte'!Títulos_a_imprimir</vt:lpstr>
      <vt:lpstr>'4163 Riesgo'!Títulos_a_imprimir</vt:lpstr>
      <vt:lpstr>'4164 Paz y CC'!Títulos_a_imprimir</vt:lpstr>
      <vt:lpstr>'4171 Desarrollo Eco'!Títulos_a_imprimir</vt:lpstr>
      <vt:lpstr>'4172 Turismo'!Títulos_a_imprimir</vt:lpstr>
      <vt:lpstr>'4173 Desarrollo Territorial'!Títulos_a_imprimir</vt:lpstr>
      <vt:lpstr>'4181 Bienes y Servicios'!Títulos_a_imprimir</vt:lpstr>
      <vt:lpstr>'4181 Protección Animal'!Títulos_a_imprimir</vt:lpstr>
      <vt:lpstr>'4182 Servicios Publicos'!Títulos_a_imprimir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ESCOBAR</dc:creator>
  <cp:lastModifiedBy>Guido Escobar Morales</cp:lastModifiedBy>
  <cp:lastPrinted>2022-12-19T19:44:57Z</cp:lastPrinted>
  <dcterms:created xsi:type="dcterms:W3CDTF">2012-02-09T15:02:40Z</dcterms:created>
  <dcterms:modified xsi:type="dcterms:W3CDTF">2024-04-30T03:53:52Z</dcterms:modified>
</cp:coreProperties>
</file>