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35" windowHeight="8130" activeTab="1"/>
  </bookViews>
  <sheets>
    <sheet name="Plan3" sheetId="16" r:id="rId1"/>
    <sheet name="Plan4" sheetId="17" r:id="rId2"/>
  </sheets>
  <definedNames>
    <definedName name="_xlnm.Print_Area" localSheetId="0">Plan3!$A$1:$I$149</definedName>
  </definedNames>
  <calcPr calcId="125725"/>
</workbook>
</file>

<file path=xl/calcChain.xml><?xml version="1.0" encoding="utf-8"?>
<calcChain xmlns="http://schemas.openxmlformats.org/spreadsheetml/2006/main">
  <c r="G31" i="16"/>
  <c r="E86"/>
  <c r="E5"/>
  <c r="G89"/>
  <c r="G126"/>
  <c r="G92"/>
  <c r="G91"/>
  <c r="G90"/>
  <c r="G129"/>
  <c r="G128"/>
  <c r="G127"/>
  <c r="E88"/>
  <c r="E87"/>
  <c r="E125"/>
  <c r="E124"/>
  <c r="E122"/>
  <c r="E85"/>
  <c r="E84"/>
  <c r="E121"/>
  <c r="E14"/>
  <c r="G32"/>
  <c r="G26" s="1"/>
  <c r="E8" s="1"/>
  <c r="G8" s="1"/>
  <c r="G30"/>
  <c r="G24" s="1"/>
  <c r="E230" i="17"/>
  <c r="F230" s="1"/>
  <c r="E229"/>
  <c r="C230"/>
  <c r="C229"/>
  <c r="B230"/>
  <c r="B229"/>
  <c r="A230"/>
  <c r="A229"/>
  <c r="F235"/>
  <c r="F229"/>
  <c r="E226"/>
  <c r="C226"/>
  <c r="B226"/>
  <c r="A226"/>
  <c r="E225"/>
  <c r="F225" s="1"/>
  <c r="D225"/>
  <c r="D226" s="1"/>
  <c r="C225"/>
  <c r="B225"/>
  <c r="A225"/>
  <c r="F222"/>
  <c r="F214"/>
  <c r="F211"/>
  <c r="F213" s="1"/>
  <c r="E211"/>
  <c r="C211"/>
  <c r="B211"/>
  <c r="A211"/>
  <c r="F208"/>
  <c r="F207"/>
  <c r="E204"/>
  <c r="D204"/>
  <c r="C204"/>
  <c r="B204"/>
  <c r="A204"/>
  <c r="E203"/>
  <c r="F203" s="1"/>
  <c r="C203"/>
  <c r="B203"/>
  <c r="A203"/>
  <c r="F200"/>
  <c r="D185"/>
  <c r="D183"/>
  <c r="F183" s="1"/>
  <c r="D181"/>
  <c r="D176"/>
  <c r="D177" s="1"/>
  <c r="F185"/>
  <c r="F184"/>
  <c r="F182"/>
  <c r="E185"/>
  <c r="E184"/>
  <c r="E183"/>
  <c r="E182"/>
  <c r="E181"/>
  <c r="C181"/>
  <c r="C182"/>
  <c r="C185"/>
  <c r="C184"/>
  <c r="C183"/>
  <c r="C180"/>
  <c r="B185"/>
  <c r="B184"/>
  <c r="A185"/>
  <c r="A184"/>
  <c r="B183"/>
  <c r="B182"/>
  <c r="A182"/>
  <c r="F181"/>
  <c r="E180"/>
  <c r="F180" s="1"/>
  <c r="B181"/>
  <c r="B180"/>
  <c r="A181"/>
  <c r="A180"/>
  <c r="F191"/>
  <c r="A183"/>
  <c r="E177"/>
  <c r="C177"/>
  <c r="B177"/>
  <c r="A177"/>
  <c r="E176"/>
  <c r="F176" s="1"/>
  <c r="C176"/>
  <c r="B176"/>
  <c r="A176"/>
  <c r="F173"/>
  <c r="D45"/>
  <c r="D47"/>
  <c r="A158"/>
  <c r="E159"/>
  <c r="F159" s="1"/>
  <c r="E158"/>
  <c r="B159"/>
  <c r="B158"/>
  <c r="A159"/>
  <c r="F164"/>
  <c r="C159"/>
  <c r="F158"/>
  <c r="C158"/>
  <c r="E155"/>
  <c r="D155"/>
  <c r="C155"/>
  <c r="B155"/>
  <c r="A155"/>
  <c r="E154"/>
  <c r="F154" s="1"/>
  <c r="C154"/>
  <c r="B154"/>
  <c r="A154"/>
  <c r="F151"/>
  <c r="D133"/>
  <c r="E137"/>
  <c r="E136"/>
  <c r="F136" s="1"/>
  <c r="C137"/>
  <c r="C136"/>
  <c r="B137"/>
  <c r="B136"/>
  <c r="A137"/>
  <c r="A136"/>
  <c r="F142"/>
  <c r="F137"/>
  <c r="E133"/>
  <c r="C133"/>
  <c r="B133"/>
  <c r="A133"/>
  <c r="E132"/>
  <c r="F132" s="1"/>
  <c r="C132"/>
  <c r="B132"/>
  <c r="A132"/>
  <c r="F129"/>
  <c r="D19"/>
  <c r="D111"/>
  <c r="P62"/>
  <c r="P61"/>
  <c r="P60"/>
  <c r="P64" s="1"/>
  <c r="P66" s="1"/>
  <c r="O10" s="1"/>
  <c r="P59"/>
  <c r="O50"/>
  <c r="P50" s="1"/>
  <c r="O60"/>
  <c r="P49"/>
  <c r="P48"/>
  <c r="P47"/>
  <c r="P46"/>
  <c r="P45"/>
  <c r="P44"/>
  <c r="P43"/>
  <c r="P42"/>
  <c r="P41"/>
  <c r="P40"/>
  <c r="P39"/>
  <c r="D110"/>
  <c r="F120"/>
  <c r="E115"/>
  <c r="F115" s="1"/>
  <c r="C115"/>
  <c r="B115"/>
  <c r="A115"/>
  <c r="E114"/>
  <c r="F114" s="1"/>
  <c r="F116" s="1"/>
  <c r="C114"/>
  <c r="B114"/>
  <c r="A114"/>
  <c r="E111"/>
  <c r="F111"/>
  <c r="C111"/>
  <c r="B111"/>
  <c r="A111"/>
  <c r="C110"/>
  <c r="B110"/>
  <c r="A110"/>
  <c r="F107"/>
  <c r="D91"/>
  <c r="D93"/>
  <c r="E93"/>
  <c r="E92"/>
  <c r="C93"/>
  <c r="C92"/>
  <c r="B93"/>
  <c r="B92"/>
  <c r="A93"/>
  <c r="A92"/>
  <c r="F98"/>
  <c r="F91"/>
  <c r="E91"/>
  <c r="C91"/>
  <c r="B91"/>
  <c r="A91"/>
  <c r="E90"/>
  <c r="C90"/>
  <c r="B90"/>
  <c r="A90"/>
  <c r="E87"/>
  <c r="C87"/>
  <c r="B87"/>
  <c r="A87"/>
  <c r="C86"/>
  <c r="B86"/>
  <c r="A86"/>
  <c r="F83"/>
  <c r="A68"/>
  <c r="E69"/>
  <c r="E68"/>
  <c r="B69"/>
  <c r="B68"/>
  <c r="A69"/>
  <c r="F61"/>
  <c r="F74"/>
  <c r="F69"/>
  <c r="C69"/>
  <c r="C68"/>
  <c r="F65"/>
  <c r="E65"/>
  <c r="D65"/>
  <c r="C65"/>
  <c r="B65"/>
  <c r="A65"/>
  <c r="C64"/>
  <c r="B64"/>
  <c r="A64"/>
  <c r="E47"/>
  <c r="E46"/>
  <c r="F46" s="1"/>
  <c r="E45"/>
  <c r="E44"/>
  <c r="C47"/>
  <c r="C46"/>
  <c r="C45"/>
  <c r="C44"/>
  <c r="B47"/>
  <c r="B46"/>
  <c r="B45"/>
  <c r="B44"/>
  <c r="A47"/>
  <c r="D41"/>
  <c r="A46"/>
  <c r="A45"/>
  <c r="A44"/>
  <c r="F37"/>
  <c r="F52"/>
  <c r="E41"/>
  <c r="C41"/>
  <c r="B41"/>
  <c r="A41"/>
  <c r="C40"/>
  <c r="B40"/>
  <c r="A40"/>
  <c r="A22"/>
  <c r="A23"/>
  <c r="B22"/>
  <c r="B23"/>
  <c r="C22"/>
  <c r="C23"/>
  <c r="E23"/>
  <c r="E22"/>
  <c r="E19"/>
  <c r="C19"/>
  <c r="C18"/>
  <c r="B19"/>
  <c r="B18"/>
  <c r="A19"/>
  <c r="A18"/>
  <c r="F28"/>
  <c r="F23"/>
  <c r="D147" i="16"/>
  <c r="D144"/>
  <c r="D60"/>
  <c r="D131"/>
  <c r="D93"/>
  <c r="D139"/>
  <c r="D138"/>
  <c r="D80"/>
  <c r="D117"/>
  <c r="E10"/>
  <c r="F58"/>
  <c r="F59" s="1"/>
  <c r="D52"/>
  <c r="G35"/>
  <c r="G34"/>
  <c r="G29"/>
  <c r="G23" s="1"/>
  <c r="G14"/>
  <c r="G11"/>
  <c r="G9"/>
  <c r="G7"/>
  <c r="G20"/>
  <c r="E123" l="1"/>
  <c r="G123" s="1"/>
  <c r="G25"/>
  <c r="E6" s="1"/>
  <c r="E117"/>
  <c r="G121"/>
  <c r="E56"/>
  <c r="G5"/>
  <c r="G84"/>
  <c r="G88"/>
  <c r="G125"/>
  <c r="F226" i="17"/>
  <c r="F227" s="1"/>
  <c r="F231"/>
  <c r="F204"/>
  <c r="F205" s="1"/>
  <c r="F209"/>
  <c r="F177"/>
  <c r="F178" s="1"/>
  <c r="F187"/>
  <c r="F160"/>
  <c r="F155"/>
  <c r="F156" s="1"/>
  <c r="F138"/>
  <c r="F133"/>
  <c r="F134" s="1"/>
  <c r="P52"/>
  <c r="P54" s="1"/>
  <c r="P10" s="1"/>
  <c r="Q10" s="1"/>
  <c r="F90"/>
  <c r="D87"/>
  <c r="F87" s="1"/>
  <c r="F93"/>
  <c r="F92"/>
  <c r="F68"/>
  <c r="F70" s="1"/>
  <c r="F47"/>
  <c r="F41"/>
  <c r="F45"/>
  <c r="F44"/>
  <c r="F22"/>
  <c r="F24" s="1"/>
  <c r="F19"/>
  <c r="D146" i="16"/>
  <c r="G124"/>
  <c r="G56"/>
  <c r="G87"/>
  <c r="G122"/>
  <c r="G85"/>
  <c r="D145"/>
  <c r="E58"/>
  <c r="E59" s="1"/>
  <c r="G12"/>
  <c r="G58" s="1"/>
  <c r="G10"/>
  <c r="G57" s="1"/>
  <c r="G13"/>
  <c r="G86" l="1"/>
  <c r="G97" s="1"/>
  <c r="G6"/>
  <c r="G16" s="1"/>
  <c r="G18" s="1"/>
  <c r="F236" i="17"/>
  <c r="F237" s="1"/>
  <c r="F238" s="1"/>
  <c r="F215"/>
  <c r="F216" s="1"/>
  <c r="F192"/>
  <c r="F193" s="1"/>
  <c r="F194" s="1"/>
  <c r="F165"/>
  <c r="F166" s="1"/>
  <c r="F167" s="1"/>
  <c r="F143"/>
  <c r="F144" s="1"/>
  <c r="F145" s="1"/>
  <c r="E86"/>
  <c r="E110"/>
  <c r="F110" s="1"/>
  <c r="F112" s="1"/>
  <c r="F121" s="1"/>
  <c r="F122" s="1"/>
  <c r="F123" s="1"/>
  <c r="E18"/>
  <c r="F18" s="1"/>
  <c r="F20" s="1"/>
  <c r="F29" s="1"/>
  <c r="F30" s="1"/>
  <c r="F31" s="1"/>
  <c r="E40"/>
  <c r="E64"/>
  <c r="F64" s="1"/>
  <c r="F66" s="1"/>
  <c r="F75"/>
  <c r="G134" i="16"/>
  <c r="F86" i="17"/>
  <c r="F88" s="1"/>
  <c r="F94"/>
  <c r="F76"/>
  <c r="F77" s="1"/>
  <c r="F48"/>
  <c r="F40"/>
  <c r="F42" s="1"/>
  <c r="I134" i="16" l="1"/>
  <c r="I97"/>
  <c r="F99" i="17"/>
  <c r="F100" s="1"/>
  <c r="F101" s="1"/>
  <c r="F53"/>
  <c r="F54" s="1"/>
  <c r="F55" s="1"/>
  <c r="G64" i="16"/>
  <c r="I64" s="1"/>
</calcChain>
</file>

<file path=xl/sharedStrings.xml><?xml version="1.0" encoding="utf-8"?>
<sst xmlns="http://schemas.openxmlformats.org/spreadsheetml/2006/main" count="577" uniqueCount="233">
  <si>
    <t>Item</t>
  </si>
  <si>
    <t>Mês</t>
  </si>
  <si>
    <t>Quant.</t>
  </si>
  <si>
    <t>Total</t>
  </si>
  <si>
    <t>Descrição</t>
  </si>
  <si>
    <t>Coleta hospitalar</t>
  </si>
  <si>
    <t>Unid.</t>
  </si>
  <si>
    <t>Ton</t>
  </si>
  <si>
    <t>Kg</t>
  </si>
  <si>
    <t>Coleta regular manual mat. Reciclado</t>
  </si>
  <si>
    <t>Pintura de meio fio</t>
  </si>
  <si>
    <t>Planilha de previsão de Faturamento</t>
  </si>
  <si>
    <t>m</t>
  </si>
  <si>
    <t>Coleta manual de entulho c/ destino final</t>
  </si>
  <si>
    <t>Coleta mecânica de entulho c/ destino final</t>
  </si>
  <si>
    <t>Preço Unit.</t>
  </si>
  <si>
    <t>Total Geral</t>
  </si>
  <si>
    <t>Hab.</t>
  </si>
  <si>
    <t>Kg/dia/hab.</t>
  </si>
  <si>
    <t>Poda de árvores c/ destino final</t>
  </si>
  <si>
    <t>Dimensionamento da produção de lixo / mês</t>
  </si>
  <si>
    <t>Dimensionamento do lixo coleta manual Compactador</t>
  </si>
  <si>
    <t>ton/mês</t>
  </si>
  <si>
    <t>Quant./mês</t>
  </si>
  <si>
    <t>Dimencionamento dos caminhões compactadores</t>
  </si>
  <si>
    <t>Dimencionamento dos caminhões basculantes (Lixo)</t>
  </si>
  <si>
    <t>Dimensionamento do lixo coleta manual Basculante 12m³</t>
  </si>
  <si>
    <t>Dimensionamento dos lixões com coleta mecânica Basculante 12m³</t>
  </si>
  <si>
    <t>Dimensionamento de entulho coleta mecânica Basculante 12m³</t>
  </si>
  <si>
    <t>Dimencionamento dos caminhões comercial para poda</t>
  </si>
  <si>
    <t>9 unid. X 12 ton x 2 viagens x 22 dias =</t>
  </si>
  <si>
    <t>3 unid. X 1,7 ton x 2 viagens x 22 dias =</t>
  </si>
  <si>
    <t>3 unid. X 2 árvores x 2 viagens x 22 dias =</t>
  </si>
  <si>
    <t>Caminhão Compactador</t>
  </si>
  <si>
    <t>Lote 1</t>
  </si>
  <si>
    <t>Lote 1 (Praia)</t>
  </si>
  <si>
    <t>Km</t>
  </si>
  <si>
    <t>Rota 15</t>
  </si>
  <si>
    <t>Rota 14</t>
  </si>
  <si>
    <t>Rota 10</t>
  </si>
  <si>
    <t>Rota 12</t>
  </si>
  <si>
    <t>Rota 16</t>
  </si>
  <si>
    <t>Rota 09</t>
  </si>
  <si>
    <t>Rota 08</t>
  </si>
  <si>
    <t>Rota 07</t>
  </si>
  <si>
    <t>Rota 06</t>
  </si>
  <si>
    <t>Equipamentos</t>
  </si>
  <si>
    <t>Caminhão compactador</t>
  </si>
  <si>
    <t>Trator de pneus</t>
  </si>
  <si>
    <t>Vasoura mecânica</t>
  </si>
  <si>
    <t>Caminhão basculante 12m³ lixo</t>
  </si>
  <si>
    <t>Coleta lixo container</t>
  </si>
  <si>
    <t>Container</t>
  </si>
  <si>
    <t>segunda-feira</t>
  </si>
  <si>
    <t>terça-feira</t>
  </si>
  <si>
    <t>quarta-feira</t>
  </si>
  <si>
    <t>quinta-feira</t>
  </si>
  <si>
    <t>sexta-feira</t>
  </si>
  <si>
    <t>sábado</t>
  </si>
  <si>
    <t>Lote 2</t>
  </si>
  <si>
    <t>Rota 05</t>
  </si>
  <si>
    <t>Rota 11</t>
  </si>
  <si>
    <t>Rota 04</t>
  </si>
  <si>
    <t>Rota 01</t>
  </si>
  <si>
    <t>Rota 18</t>
  </si>
  <si>
    <t>Rota 19</t>
  </si>
  <si>
    <t>Rota 20</t>
  </si>
  <si>
    <t>Lote 3</t>
  </si>
  <si>
    <t>Rota 02</t>
  </si>
  <si>
    <t>Rota 03</t>
  </si>
  <si>
    <t>Rota 13</t>
  </si>
  <si>
    <t>Rota 17</t>
  </si>
  <si>
    <t>Rota 21</t>
  </si>
  <si>
    <t>Rota 22</t>
  </si>
  <si>
    <t>Rota 23</t>
  </si>
  <si>
    <t>Rota 24</t>
  </si>
  <si>
    <t>Rota 25</t>
  </si>
  <si>
    <t>Rota 26</t>
  </si>
  <si>
    <t>Rota 27</t>
  </si>
  <si>
    <t>Rota 28</t>
  </si>
  <si>
    <t>Rota 29</t>
  </si>
  <si>
    <t>Rota 30</t>
  </si>
  <si>
    <t>Rota 31</t>
  </si>
  <si>
    <t>Caminhão basculante 12m³ entulho manual</t>
  </si>
  <si>
    <t>Caminhão basculante 12m³ entulho mecânico</t>
  </si>
  <si>
    <t>Coleta lixo manual c/ destino final</t>
  </si>
  <si>
    <t>Caminhão basculante 12m³ Lixão mecânico</t>
  </si>
  <si>
    <t>Garis</t>
  </si>
  <si>
    <t>Garis (Logradouros e ruas)</t>
  </si>
  <si>
    <t>Praia e Centro</t>
  </si>
  <si>
    <t>Centro</t>
  </si>
  <si>
    <t>Praia</t>
  </si>
  <si>
    <t>BR - Fort.</t>
  </si>
  <si>
    <t>Total de Caminhões Compactadores</t>
  </si>
  <si>
    <t>Total de Caminhões Basculantes</t>
  </si>
  <si>
    <t>Total de Caminhões / Container</t>
  </si>
  <si>
    <t>Total de Trator Pneus</t>
  </si>
  <si>
    <t>Total de Retro-escavadeiras</t>
  </si>
  <si>
    <t>Total de Carregadeira Frontal</t>
  </si>
  <si>
    <t>Retro / Carregadeira</t>
  </si>
  <si>
    <t>Motoristas</t>
  </si>
  <si>
    <t>Carro de apoio</t>
  </si>
  <si>
    <t>Total de Carros de apoio</t>
  </si>
  <si>
    <t>Operadores de equipamentos pesados</t>
  </si>
  <si>
    <t>m²/mês</t>
  </si>
  <si>
    <t xml:space="preserve"> ANEXO II-c (COMPOSIÇÕES UNITÁRIAS)</t>
  </si>
  <si>
    <t>ÚLTIMA ALTERAÇÃO NAS COMPOSIÇÕES:</t>
  </si>
  <si>
    <t>BDI MATERIAIS (Memo Circular Nº 06/CEP/2012 de 19.01.2012):</t>
  </si>
  <si>
    <t>%</t>
  </si>
  <si>
    <t>BDI SERVIÇOS (Memo Circular Nº 06/CEP/2012 de 19.01.2012):</t>
  </si>
  <si>
    <t>ENCARGOS SOCIAIS DO SINAPI SOBRE PREÇOS DA MÃO-DE-OBRA: 88,81%(HORA) 50,72%(MÊS)</t>
  </si>
  <si>
    <t>Código:</t>
  </si>
  <si>
    <t>Unidade:</t>
  </si>
  <si>
    <t>Descrição:</t>
  </si>
  <si>
    <t>Cód. Insumo</t>
  </si>
  <si>
    <t>Desc. do Insumo</t>
  </si>
  <si>
    <t>Unid</t>
  </si>
  <si>
    <t>P. Unit (R$)</t>
  </si>
  <si>
    <t>P. Total (R$)</t>
  </si>
  <si>
    <t>MÃO DE OBRA</t>
  </si>
  <si>
    <t>Sub total MO:</t>
  </si>
  <si>
    <t>MATERIAIS</t>
  </si>
  <si>
    <t>Sub total MATERIAIS:</t>
  </si>
  <si>
    <t>Total ( MAT + MO + EQUIP):</t>
  </si>
  <si>
    <t>BDI (26,91%):</t>
  </si>
  <si>
    <t>PREÇO UNITÁRIO TOTAL:</t>
  </si>
  <si>
    <t>Código</t>
  </si>
  <si>
    <t>Unidade</t>
  </si>
  <si>
    <t>H</t>
  </si>
  <si>
    <t>Preço c/ enc.</t>
  </si>
  <si>
    <t>I2543</t>
  </si>
  <si>
    <t>I6815</t>
  </si>
  <si>
    <t>ENCARREGADO DE TURMA / FEITOR</t>
  </si>
  <si>
    <t>I0576</t>
  </si>
  <si>
    <t>CAMINHÃO BASCULANTE 12 M3 (CHI)</t>
  </si>
  <si>
    <t>CHI</t>
  </si>
  <si>
    <t>CHP</t>
  </si>
  <si>
    <t>I0667</t>
  </si>
  <si>
    <t>TRATOR DE PNEUS (CHI)</t>
  </si>
  <si>
    <t>I0672</t>
  </si>
  <si>
    <t>I0673</t>
  </si>
  <si>
    <t>I0786</t>
  </si>
  <si>
    <t>VEÍCULO UTILITÁRIO KOMBI (CHI)</t>
  </si>
  <si>
    <t>VEÍCULO UTILITÁRIO KOMBI (CHP)</t>
  </si>
  <si>
    <t>I0785</t>
  </si>
  <si>
    <t>I0780</t>
  </si>
  <si>
    <t>TRATOR DE PNEUS (CHP)</t>
  </si>
  <si>
    <t>I0688</t>
  </si>
  <si>
    <t>CAMINHÃO BASCULANTE 12 M3 (CHP)</t>
  </si>
  <si>
    <t>I0582</t>
  </si>
  <si>
    <t>CAMINHÃO C/CARROCERIA DE MADEIRA HP 184 (CHI)</t>
  </si>
  <si>
    <t>I0693</t>
  </si>
  <si>
    <t>CAMINHÃO C/CARROCERIA DE MADEIRA HP 184 (CHP)</t>
  </si>
  <si>
    <t>I0592</t>
  </si>
  <si>
    <t>CAMINHONETE SAVEIRO (CHI)</t>
  </si>
  <si>
    <t>I0700</t>
  </si>
  <si>
    <t>CAMINHONETE SAVEIRO (CHP)</t>
  </si>
  <si>
    <t>I0585</t>
  </si>
  <si>
    <t>I0694</t>
  </si>
  <si>
    <t>CAMINHÃO COMPACTADOR (CHI)</t>
  </si>
  <si>
    <t>CAMINHÃO COMPACTADOR (CHP)</t>
  </si>
  <si>
    <t>Mês/Ano de Coleta SEINFRA:</t>
  </si>
  <si>
    <t>Fonte: SEINFRA 24.1</t>
  </si>
  <si>
    <t>SERVENTE / GARI</t>
  </si>
  <si>
    <t>EQUIPAMENTOS</t>
  </si>
  <si>
    <t>Sub total EQUIPAMENTOS:</t>
  </si>
  <si>
    <t>I0653</t>
  </si>
  <si>
    <t>RETRO ESCAVADEIRA DE PNEUS (CHI)</t>
  </si>
  <si>
    <t>I0765</t>
  </si>
  <si>
    <t>RETRO ESCAVADEIRA DE PNEUS (CHP)</t>
  </si>
  <si>
    <t>Mês / Ano de coleta dos preços SEINFRA - CE</t>
  </si>
  <si>
    <t>I0594</t>
  </si>
  <si>
    <t>CARREGADEIRA DE PNEUS HP 111 (CHI)</t>
  </si>
  <si>
    <t>I0708</t>
  </si>
  <si>
    <t>CARREGADEIRA DE PNEUS HP 111 (CHP)</t>
  </si>
  <si>
    <t>Encargos Sociais:</t>
  </si>
  <si>
    <t>Enxada</t>
  </si>
  <si>
    <t>Pá</t>
  </si>
  <si>
    <t>Garfo de 8 dentes</t>
  </si>
  <si>
    <t>Carrinho lutocar</t>
  </si>
  <si>
    <t>Carrinho de mão</t>
  </si>
  <si>
    <t>Roçadeira mecãnica</t>
  </si>
  <si>
    <t>Foice</t>
  </si>
  <si>
    <t>Picareta</t>
  </si>
  <si>
    <t>Vassoura</t>
  </si>
  <si>
    <t>Vassourão gari 50cm nylon estrela</t>
  </si>
  <si>
    <t>Cone de sinalização</t>
  </si>
  <si>
    <t>FERRAMENTAS POR GARI / MÊS</t>
  </si>
  <si>
    <t xml:space="preserve">Preço </t>
  </si>
  <si>
    <t>Quant/mês</t>
  </si>
  <si>
    <t>Valor das ferramentas por hora/homem</t>
  </si>
  <si>
    <t>EPI POR GARI / MÊS</t>
  </si>
  <si>
    <t>Fardamento</t>
  </si>
  <si>
    <t>Luva de raspa</t>
  </si>
  <si>
    <t>Bota</t>
  </si>
  <si>
    <t>Mascara</t>
  </si>
  <si>
    <t>Par</t>
  </si>
  <si>
    <t>Sacos plásticos para lixo (100 litros)</t>
  </si>
  <si>
    <t>Valor do EPI por hora/homem</t>
  </si>
  <si>
    <t>EPI</t>
  </si>
  <si>
    <t>Ferramentas</t>
  </si>
  <si>
    <t>I0584</t>
  </si>
  <si>
    <t>I0705</t>
  </si>
  <si>
    <t xml:space="preserve">CAMINHÃO COMERC. EQUIP. C/GUINDASTE (CHI) TIPO ROLT-LON </t>
  </si>
  <si>
    <t xml:space="preserve">CAMINHÃO COMERC. EQUIP. C/GUINDASTE (CHP) TIPO ROLT-LON </t>
  </si>
  <si>
    <t>Limpeza mecânica faixa de praia</t>
  </si>
  <si>
    <t>M²/mês</t>
  </si>
  <si>
    <t>M</t>
  </si>
  <si>
    <t>MATERIAL</t>
  </si>
  <si>
    <t>KG</t>
  </si>
  <si>
    <t>Pintura de meio fio com cal (Caiação)</t>
  </si>
  <si>
    <t>I2496</t>
  </si>
  <si>
    <t>SUPERCAL</t>
  </si>
  <si>
    <t>Um metro de meio-fio = (0,15m + 0,12m) x 1,00m</t>
  </si>
  <si>
    <t>Logo tem uma área de = 0,27 m²/m</t>
  </si>
  <si>
    <t xml:space="preserve">Logo o total (Mat.+MO+Equip.) = R$ 2,95 x 0,27m²/m = R$ 0,80 </t>
  </si>
  <si>
    <t>TOTAL DE EQUIPAMENTOS E PESSOAL PARA OS TRÊS LOTES</t>
  </si>
  <si>
    <t>Total do  Lote 2</t>
  </si>
  <si>
    <t>Total do Lote 3</t>
  </si>
  <si>
    <t>Total do Lote 1</t>
  </si>
  <si>
    <t>11 unid. X 3 ton x 4 viagens x 22 dias =</t>
  </si>
  <si>
    <t>caminhão Basculantes</t>
  </si>
  <si>
    <t>Coleta lixo mecânica c/ destino final (Mini-lixões)</t>
  </si>
  <si>
    <t>Coleta lixo mecânica c/ destino final (mini-lixões)</t>
  </si>
  <si>
    <t>Dimencionamento dos caminhões basculantes (Entulho)</t>
  </si>
  <si>
    <t>6 unid. X 10 ton x 6 viagens x 22 dias =</t>
  </si>
  <si>
    <t>Total transp.</t>
  </si>
  <si>
    <t>Quant. Equip.</t>
  </si>
  <si>
    <t>Cálculo</t>
  </si>
  <si>
    <t>VASSOURA MECÂNICA (CHI) (Com peneira)</t>
  </si>
  <si>
    <t>VASSOURA MECÂNICA (CHP) (Com peneira)</t>
  </si>
  <si>
    <t>10 unid. X 6 ton x 6 viagens x 22 dias =</t>
  </si>
  <si>
    <t>Dimencionamento dos caminhões basculantes (Mini-Lixão)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</si>
</sst>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dd/mm/yy;@"/>
    <numFmt numFmtId="165" formatCode="_(* #,##0.00_);_(* \(#,##0.00\);_(* \-??_);_(@_)"/>
    <numFmt numFmtId="166" formatCode="_(&quot;R$ &quot;* #,##0.00_);_(&quot;R$ &quot;* \(#,##0.00\);_(&quot;R$ &quot;* \-??_);_(@_)"/>
    <numFmt numFmtId="167" formatCode="mm/yyyy;@"/>
    <numFmt numFmtId="168" formatCode="0.00000"/>
    <numFmt numFmtId="169" formatCode="_(&quot;R$ &quot;* #,##0.00_);_(&quot;R$ &quot;* \(#,##0.00\);_(&quot;R$ &quot;* &quot;-&quot;??_);_(@_)"/>
    <numFmt numFmtId="170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.5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sz val="8"/>
      <name val="Arial"/>
      <family val="2"/>
    </font>
    <font>
      <sz val="7"/>
      <color indexed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55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8"/>
      </right>
      <top/>
      <bottom style="thin">
        <color indexed="8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164" fontId="5" fillId="0" borderId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ill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0" fontId="7" fillId="0" borderId="2" applyNumberFormat="0" applyFill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NumberFormat="1" applyFont="1"/>
    <xf numFmtId="9" fontId="0" fillId="0" borderId="0" xfId="2" applyFont="1"/>
    <xf numFmtId="4" fontId="4" fillId="0" borderId="0" xfId="0" applyNumberFormat="1" applyFont="1"/>
    <xf numFmtId="0" fontId="5" fillId="0" borderId="0" xfId="3"/>
    <xf numFmtId="0" fontId="8" fillId="2" borderId="0" xfId="10" applyFont="1" applyFill="1" applyBorder="1"/>
    <xf numFmtId="0" fontId="8" fillId="2" borderId="0" xfId="10" applyFont="1" applyFill="1"/>
    <xf numFmtId="0" fontId="8" fillId="2" borderId="0" xfId="10" applyFont="1" applyFill="1" applyAlignment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Alignment="1">
      <alignment vertical="center"/>
    </xf>
    <xf numFmtId="0" fontId="11" fillId="0" borderId="0" xfId="10" applyFont="1"/>
    <xf numFmtId="0" fontId="8" fillId="0" borderId="0" xfId="10" applyFont="1" applyFill="1" applyBorder="1"/>
    <xf numFmtId="0" fontId="10" fillId="0" borderId="0" xfId="10" applyFont="1" applyFill="1" applyBorder="1" applyAlignment="1">
      <alignment horizontal="right" vertical="center"/>
    </xf>
    <xf numFmtId="4" fontId="12" fillId="0" borderId="0" xfId="10" applyNumberFormat="1" applyFont="1" applyFill="1" applyBorder="1" applyAlignment="1">
      <alignment horizontal="right" vertical="center"/>
    </xf>
    <xf numFmtId="0" fontId="10" fillId="3" borderId="0" xfId="10" applyFont="1" applyFill="1" applyBorder="1" applyAlignment="1">
      <alignment horizontal="left" vertical="top"/>
    </xf>
    <xf numFmtId="0" fontId="10" fillId="3" borderId="0" xfId="10" applyFont="1" applyFill="1" applyBorder="1" applyAlignment="1">
      <alignment horizontal="right" vertical="top"/>
    </xf>
    <xf numFmtId="4" fontId="10" fillId="3" borderId="0" xfId="10" applyNumberFormat="1" applyFont="1" applyFill="1" applyBorder="1" applyAlignment="1">
      <alignment horizontal="right" vertical="top"/>
    </xf>
    <xf numFmtId="0" fontId="8" fillId="0" borderId="0" xfId="10" applyFont="1" applyBorder="1"/>
    <xf numFmtId="0" fontId="8" fillId="4" borderId="4" xfId="10" applyFont="1" applyFill="1" applyBorder="1"/>
    <xf numFmtId="0" fontId="8" fillId="4" borderId="5" xfId="10" applyFont="1" applyFill="1" applyBorder="1"/>
    <xf numFmtId="0" fontId="8" fillId="4" borderId="5" xfId="10" applyFont="1" applyFill="1" applyBorder="1" applyAlignment="1"/>
    <xf numFmtId="0" fontId="12" fillId="4" borderId="6" xfId="10" applyFont="1" applyFill="1" applyBorder="1" applyAlignment="1">
      <alignment horizontal="center"/>
    </xf>
    <xf numFmtId="0" fontId="8" fillId="4" borderId="7" xfId="10" applyFont="1" applyFill="1" applyBorder="1" applyAlignment="1">
      <alignment vertical="top"/>
    </xf>
    <xf numFmtId="0" fontId="8" fillId="4" borderId="8" xfId="10" applyFont="1" applyFill="1" applyBorder="1"/>
    <xf numFmtId="0" fontId="8" fillId="4" borderId="9" xfId="10" applyFont="1" applyFill="1" applyBorder="1"/>
    <xf numFmtId="0" fontId="8" fillId="4" borderId="9" xfId="10" applyFont="1" applyFill="1" applyBorder="1" applyAlignment="1">
      <alignment horizontal="right"/>
    </xf>
    <xf numFmtId="167" fontId="10" fillId="4" borderId="10" xfId="10" applyNumberFormat="1" applyFont="1" applyFill="1" applyBorder="1" applyAlignment="1">
      <alignment horizontal="center"/>
    </xf>
    <xf numFmtId="0" fontId="10" fillId="0" borderId="3" xfId="10" applyFont="1" applyBorder="1" applyAlignment="1">
      <alignment horizontal="center"/>
    </xf>
    <xf numFmtId="0" fontId="10" fillId="0" borderId="4" xfId="10" applyFont="1" applyBorder="1" applyAlignment="1">
      <alignment horizontal="left" vertical="top"/>
    </xf>
    <xf numFmtId="0" fontId="10" fillId="0" borderId="5" xfId="10" applyFont="1" applyBorder="1" applyAlignment="1">
      <alignment horizontal="left" vertical="top"/>
    </xf>
    <xf numFmtId="0" fontId="10" fillId="0" borderId="5" xfId="10" applyFont="1" applyBorder="1" applyAlignment="1">
      <alignment horizontal="right" vertical="top"/>
    </xf>
    <xf numFmtId="4" fontId="10" fillId="0" borderId="6" xfId="10" applyNumberFormat="1" applyFont="1" applyBorder="1" applyAlignment="1">
      <alignment horizontal="right" vertical="top"/>
    </xf>
    <xf numFmtId="0" fontId="8" fillId="0" borderId="11" xfId="10" applyFont="1" applyFill="1" applyBorder="1" applyAlignment="1">
      <alignment horizontal="center" vertical="top" wrapText="1"/>
    </xf>
    <xf numFmtId="0" fontId="8" fillId="0" borderId="12" xfId="10" applyFont="1" applyFill="1" applyBorder="1" applyAlignment="1">
      <alignment vertical="top" wrapText="1"/>
    </xf>
    <xf numFmtId="0" fontId="8" fillId="0" borderId="12" xfId="10" applyFont="1" applyFill="1" applyBorder="1" applyAlignment="1">
      <alignment horizontal="center" vertical="top" wrapText="1"/>
    </xf>
    <xf numFmtId="168" fontId="8" fillId="0" borderId="12" xfId="10" applyNumberFormat="1" applyFont="1" applyFill="1" applyBorder="1" applyAlignment="1">
      <alignment vertical="top" wrapText="1"/>
    </xf>
    <xf numFmtId="4" fontId="8" fillId="0" borderId="13" xfId="10" applyNumberFormat="1" applyFont="1" applyFill="1" applyBorder="1" applyAlignment="1">
      <alignment vertical="top" wrapText="1"/>
    </xf>
    <xf numFmtId="4" fontId="8" fillId="0" borderId="15" xfId="10" applyNumberFormat="1" applyFont="1" applyBorder="1" applyAlignment="1">
      <alignment horizontal="right" vertical="top"/>
    </xf>
    <xf numFmtId="0" fontId="10" fillId="0" borderId="8" xfId="10" applyFont="1" applyBorder="1" applyAlignment="1">
      <alignment horizontal="left" vertical="top"/>
    </xf>
    <xf numFmtId="0" fontId="10" fillId="0" borderId="9" xfId="10" applyFont="1" applyBorder="1" applyAlignment="1">
      <alignment horizontal="left" vertical="top"/>
    </xf>
    <xf numFmtId="0" fontId="10" fillId="0" borderId="9" xfId="10" applyFont="1" applyBorder="1" applyAlignment="1">
      <alignment horizontal="right" vertical="top"/>
    </xf>
    <xf numFmtId="0" fontId="10" fillId="0" borderId="17" xfId="10" applyFont="1" applyBorder="1" applyAlignment="1">
      <alignment horizontal="left" vertical="top"/>
    </xf>
    <xf numFmtId="0" fontId="10" fillId="0" borderId="18" xfId="10" applyFont="1" applyBorder="1" applyAlignment="1">
      <alignment horizontal="left" vertical="top"/>
    </xf>
    <xf numFmtId="0" fontId="10" fillId="0" borderId="18" xfId="10" applyFont="1" applyBorder="1" applyAlignment="1">
      <alignment horizontal="right" vertical="top"/>
    </xf>
    <xf numFmtId="4" fontId="10" fillId="0" borderId="19" xfId="10" applyNumberFormat="1" applyFont="1" applyBorder="1" applyAlignment="1">
      <alignment horizontal="right" vertical="top"/>
    </xf>
    <xf numFmtId="0" fontId="8" fillId="0" borderId="14" xfId="10" applyFont="1" applyBorder="1"/>
    <xf numFmtId="0" fontId="8" fillId="0" borderId="15" xfId="10" applyFont="1" applyBorder="1"/>
    <xf numFmtId="4" fontId="10" fillId="5" borderId="20" xfId="10" applyNumberFormat="1" applyFont="1" applyFill="1" applyBorder="1" applyAlignment="1">
      <alignment horizontal="right" vertical="top"/>
    </xf>
    <xf numFmtId="4" fontId="8" fillId="0" borderId="12" xfId="3" applyNumberFormat="1" applyFont="1" applyFill="1" applyBorder="1" applyAlignment="1">
      <alignment horizontal="right" vertical="top"/>
    </xf>
    <xf numFmtId="4" fontId="10" fillId="0" borderId="6" xfId="10" applyNumberFormat="1" applyFont="1" applyFill="1" applyBorder="1" applyAlignment="1">
      <alignment horizontal="right" vertical="top"/>
    </xf>
    <xf numFmtId="0" fontId="8" fillId="0" borderId="7" xfId="10" applyFont="1" applyBorder="1"/>
    <xf numFmtId="0" fontId="10" fillId="0" borderId="0" xfId="10" applyFont="1" applyBorder="1" applyAlignment="1">
      <alignment horizontal="right" vertical="top"/>
    </xf>
    <xf numFmtId="4" fontId="10" fillId="0" borderId="21" xfId="10" applyNumberFormat="1" applyFont="1" applyBorder="1" applyAlignment="1">
      <alignment horizontal="right" vertical="top"/>
    </xf>
    <xf numFmtId="0" fontId="8" fillId="0" borderId="8" xfId="10" applyFont="1" applyBorder="1"/>
    <xf numFmtId="0" fontId="8" fillId="0" borderId="9" xfId="10" applyFont="1" applyBorder="1"/>
    <xf numFmtId="0" fontId="10" fillId="0" borderId="9" xfId="10" applyFont="1" applyBorder="1" applyAlignment="1">
      <alignment horizontal="right" vertical="center"/>
    </xf>
    <xf numFmtId="4" fontId="12" fillId="4" borderId="3" xfId="10" applyNumberFormat="1" applyFont="1" applyFill="1" applyBorder="1" applyAlignment="1">
      <alignment horizontal="right" vertical="center"/>
    </xf>
    <xf numFmtId="4" fontId="10" fillId="5" borderId="22" xfId="10" applyNumberFormat="1" applyFont="1" applyFill="1" applyBorder="1" applyAlignment="1">
      <alignment horizontal="right" vertical="top"/>
    </xf>
    <xf numFmtId="0" fontId="8" fillId="0" borderId="23" xfId="10" applyFont="1" applyFill="1" applyBorder="1" applyAlignment="1">
      <alignment horizontal="center" vertical="top" wrapText="1"/>
    </xf>
    <xf numFmtId="0" fontId="8" fillId="0" borderId="23" xfId="10" applyFont="1" applyFill="1" applyBorder="1" applyAlignment="1">
      <alignment vertical="top" wrapText="1"/>
    </xf>
    <xf numFmtId="168" fontId="8" fillId="0" borderId="23" xfId="10" applyNumberFormat="1" applyFont="1" applyFill="1" applyBorder="1" applyAlignment="1">
      <alignment vertical="top" wrapText="1"/>
    </xf>
    <xf numFmtId="0" fontId="8" fillId="0" borderId="23" xfId="10" applyFont="1" applyBorder="1"/>
    <xf numFmtId="0" fontId="0" fillId="0" borderId="0" xfId="0"/>
    <xf numFmtId="0" fontId="0" fillId="0" borderId="0" xfId="0" applyAlignment="1">
      <alignment horizontal="center"/>
    </xf>
    <xf numFmtId="0" fontId="13" fillId="0" borderId="0" xfId="8" applyFont="1" applyBorder="1" applyAlignment="1" applyProtection="1">
      <alignment horizontal="center" vertical="top" wrapText="1"/>
    </xf>
    <xf numFmtId="0" fontId="12" fillId="4" borderId="5" xfId="10" applyFont="1" applyFill="1" applyBorder="1" applyAlignment="1">
      <alignment horizontal="left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2" fontId="8" fillId="0" borderId="16" xfId="10" applyNumberFormat="1" applyFont="1" applyBorder="1"/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8" fillId="0" borderId="8" xfId="10" applyFont="1" applyBorder="1" applyAlignment="1">
      <alignment horizontal="center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8" fillId="0" borderId="9" xfId="10" applyFont="1" applyBorder="1" applyAlignment="1">
      <alignment horizontal="center"/>
    </xf>
    <xf numFmtId="168" fontId="8" fillId="0" borderId="9" xfId="10" applyNumberFormat="1" applyFont="1" applyBorder="1"/>
    <xf numFmtId="4" fontId="8" fillId="0" borderId="9" xfId="10" applyNumberFormat="1" applyFont="1" applyBorder="1" applyAlignment="1">
      <alignment horizontal="right" vertical="top"/>
    </xf>
    <xf numFmtId="0" fontId="8" fillId="0" borderId="10" xfId="10" applyFont="1" applyBorder="1"/>
    <xf numFmtId="4" fontId="8" fillId="0" borderId="23" xfId="10" applyNumberFormat="1" applyFont="1" applyFill="1" applyBorder="1" applyAlignment="1">
      <alignment horizontal="right" vertical="top"/>
    </xf>
    <xf numFmtId="4" fontId="8" fillId="0" borderId="23" xfId="10" applyNumberFormat="1" applyFont="1" applyFill="1" applyBorder="1" applyAlignment="1">
      <alignment vertical="top" wrapText="1"/>
    </xf>
    <xf numFmtId="0" fontId="8" fillId="0" borderId="23" xfId="10" applyFont="1" applyBorder="1" applyAlignment="1">
      <alignment horizontal="center" vertical="top" wrapText="1"/>
    </xf>
    <xf numFmtId="0" fontId="8" fillId="0" borderId="23" xfId="10" applyFont="1" applyBorder="1" applyAlignment="1">
      <alignment vertical="top" wrapText="1"/>
    </xf>
    <xf numFmtId="168" fontId="8" fillId="0" borderId="23" xfId="10" applyNumberFormat="1" applyFont="1" applyBorder="1" applyAlignment="1">
      <alignment vertical="top" wrapText="1"/>
    </xf>
    <xf numFmtId="4" fontId="8" fillId="0" borderId="23" xfId="10" applyNumberFormat="1" applyFont="1" applyBorder="1" applyAlignment="1">
      <alignment horizontal="right" vertical="top"/>
    </xf>
    <xf numFmtId="4" fontId="8" fillId="0" borderId="23" xfId="10" applyNumberFormat="1" applyFont="1" applyBorder="1" applyAlignment="1">
      <alignment vertical="top" wrapText="1"/>
    </xf>
    <xf numFmtId="0" fontId="10" fillId="0" borderId="26" xfId="10" applyFont="1" applyBorder="1" applyAlignment="1">
      <alignment horizontal="left" vertical="top"/>
    </xf>
    <xf numFmtId="0" fontId="10" fillId="0" borderId="27" xfId="10" applyFont="1" applyBorder="1" applyAlignment="1">
      <alignment horizontal="left" vertical="top"/>
    </xf>
    <xf numFmtId="0" fontId="10" fillId="0" borderId="27" xfId="10" applyFont="1" applyBorder="1" applyAlignment="1">
      <alignment horizontal="right" vertical="top"/>
    </xf>
    <xf numFmtId="4" fontId="10" fillId="0" borderId="28" xfId="10" applyNumberFormat="1" applyFont="1" applyBorder="1" applyAlignment="1">
      <alignment horizontal="right" vertical="top"/>
    </xf>
    <xf numFmtId="0" fontId="8" fillId="0" borderId="23" xfId="10" applyFont="1" applyBorder="1" applyAlignment="1">
      <alignment horizontal="center"/>
    </xf>
    <xf numFmtId="168" fontId="8" fillId="0" borderId="23" xfId="10" applyNumberFormat="1" applyFont="1" applyBorder="1"/>
    <xf numFmtId="4" fontId="10" fillId="5" borderId="29" xfId="10" applyNumberFormat="1" applyFont="1" applyFill="1" applyBorder="1" applyAlignment="1">
      <alignment horizontal="right" vertical="top"/>
    </xf>
    <xf numFmtId="4" fontId="8" fillId="0" borderId="23" xfId="3" applyNumberFormat="1" applyFont="1" applyFill="1" applyBorder="1" applyAlignment="1">
      <alignment horizontal="right" vertical="top"/>
    </xf>
    <xf numFmtId="2" fontId="8" fillId="0" borderId="23" xfId="10" applyNumberFormat="1" applyFont="1" applyBorder="1"/>
    <xf numFmtId="0" fontId="10" fillId="0" borderId="0" xfId="10" applyFont="1" applyBorder="1" applyAlignment="1">
      <alignment horizontal="left" vertical="top"/>
    </xf>
    <xf numFmtId="0" fontId="13" fillId="0" borderId="0" xfId="8" applyFont="1" applyBorder="1" applyAlignment="1" applyProtection="1">
      <alignment horizontal="center" vertical="top" wrapText="1"/>
    </xf>
    <xf numFmtId="0" fontId="13" fillId="0" borderId="0" xfId="8" applyFont="1" applyBorder="1" applyAlignment="1" applyProtection="1">
      <alignment horizontal="center" vertical="top" wrapText="1"/>
    </xf>
    <xf numFmtId="4" fontId="13" fillId="0" borderId="0" xfId="8" applyNumberFormat="1" applyFont="1" applyBorder="1" applyAlignment="1" applyProtection="1">
      <alignment horizontal="right" vertical="top" wrapText="1"/>
    </xf>
    <xf numFmtId="0" fontId="10" fillId="0" borderId="24" xfId="10" applyFont="1" applyBorder="1" applyAlignment="1">
      <alignment horizontal="left" vertical="top"/>
    </xf>
    <xf numFmtId="0" fontId="2" fillId="0" borderId="0" xfId="0" applyFont="1"/>
    <xf numFmtId="43" fontId="2" fillId="0" borderId="0" xfId="0" applyNumberFormat="1" applyFont="1"/>
    <xf numFmtId="9" fontId="2" fillId="0" borderId="0" xfId="2" applyFont="1"/>
    <xf numFmtId="0" fontId="3" fillId="0" borderId="0" xfId="0" applyFont="1" applyAlignment="1">
      <alignment horizontal="center"/>
    </xf>
    <xf numFmtId="0" fontId="12" fillId="5" borderId="21" xfId="10" applyFont="1" applyFill="1" applyBorder="1" applyAlignment="1">
      <alignment horizontal="justify" vertical="top" wrapText="1"/>
    </xf>
    <xf numFmtId="0" fontId="13" fillId="0" borderId="0" xfId="8" applyFont="1" applyBorder="1" applyAlignment="1" applyProtection="1">
      <alignment horizontal="left" vertical="top" wrapText="1"/>
    </xf>
    <xf numFmtId="0" fontId="10" fillId="2" borderId="0" xfId="10" applyFont="1" applyFill="1" applyBorder="1" applyAlignment="1">
      <alignment horizontal="center"/>
    </xf>
    <xf numFmtId="164" fontId="11" fillId="3" borderId="25" xfId="10" applyNumberFormat="1" applyFont="1" applyFill="1" applyBorder="1" applyAlignment="1">
      <alignment horizontal="center"/>
    </xf>
    <xf numFmtId="167" fontId="12" fillId="3" borderId="25" xfId="10" applyNumberFormat="1" applyFont="1" applyFill="1" applyBorder="1" applyAlignment="1">
      <alignment horizontal="center" vertical="center"/>
    </xf>
    <xf numFmtId="10" fontId="12" fillId="3" borderId="25" xfId="10" applyNumberFormat="1" applyFont="1" applyFill="1" applyBorder="1" applyAlignment="1">
      <alignment horizontal="center" vertical="center"/>
    </xf>
    <xf numFmtId="10" fontId="12" fillId="3" borderId="25" xfId="17" applyNumberFormat="1" applyFont="1" applyFill="1" applyBorder="1" applyAlignment="1" applyProtection="1">
      <alignment horizontal="center" vertical="center"/>
    </xf>
    <xf numFmtId="0" fontId="9" fillId="0" borderId="0" xfId="10" applyFont="1" applyBorder="1" applyAlignment="1">
      <alignment horizontal="center" vertical="center"/>
    </xf>
  </cellXfs>
  <cellStyles count="31">
    <cellStyle name="Excel Built-in Normal" xfId="4"/>
    <cellStyle name="Moeda 2" xfId="5"/>
    <cellStyle name="Moeda 3" xfId="6"/>
    <cellStyle name="Moeda 4" xfId="7"/>
    <cellStyle name="Normal" xfId="0" builtinId="0"/>
    <cellStyle name="Normal 10" xfId="8"/>
    <cellStyle name="Normal 2" xfId="9"/>
    <cellStyle name="Normal 2 2" xfId="10"/>
    <cellStyle name="Normal 2 3" xfId="11"/>
    <cellStyle name="Normal 3" xfId="12"/>
    <cellStyle name="Normal 3 2" xfId="13"/>
    <cellStyle name="Normal 4" xfId="14"/>
    <cellStyle name="Normal 4 2" xfId="15"/>
    <cellStyle name="Normal 5" xfId="16"/>
    <cellStyle name="Normal 6" xfId="3"/>
    <cellStyle name="Porcentagem" xfId="2" builtinId="5"/>
    <cellStyle name="Porcentagem 2" xfId="18"/>
    <cellStyle name="Porcentagem 2 2" xfId="19"/>
    <cellStyle name="Porcentagem 3" xfId="20"/>
    <cellStyle name="Porcentagem 4" xfId="21"/>
    <cellStyle name="Porcentagem 5" xfId="22"/>
    <cellStyle name="Porcentagem 6" xfId="23"/>
    <cellStyle name="Porcentagem 7" xfId="17"/>
    <cellStyle name="Separador de milhares" xfId="1" builtinId="3"/>
    <cellStyle name="Separador de milhares 12" xfId="25"/>
    <cellStyle name="Separador de milhares 2" xfId="26"/>
    <cellStyle name="Separador de milhares 3" xfId="27"/>
    <cellStyle name="Separador de milhares 4" xfId="24"/>
    <cellStyle name="Título 1 1" xfId="28"/>
    <cellStyle name="Vírgula 2" xfId="29"/>
    <cellStyle name="Vírgula 3" xfId="30"/>
  </cellStyles>
  <dxfs count="0"/>
  <tableStyles count="0" defaultTableStyle="TableStyleMedium9" defaultPivotStyle="PivotStyleLight16"/>
  <colors>
    <mruColors>
      <color rgb="FF0000FF"/>
      <color rgb="FFFFFFCC"/>
      <color rgb="FF99FF99"/>
      <color rgb="FF00FF99"/>
      <color rgb="FF66FF99"/>
      <color rgb="FFCCFFCC"/>
      <color rgb="FF66FFCC"/>
      <color rgb="FF00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7"/>
  <sheetViews>
    <sheetView workbookViewId="0">
      <selection activeCell="E13" sqref="E13"/>
    </sheetView>
  </sheetViews>
  <sheetFormatPr defaultRowHeight="15"/>
  <cols>
    <col min="2" max="2" width="44.28515625" customWidth="1"/>
    <col min="3" max="3" width="11.42578125" customWidth="1"/>
    <col min="4" max="4" width="11.5703125" customWidth="1"/>
    <col min="5" max="5" width="13.5703125" customWidth="1"/>
    <col min="6" max="6" width="11.5703125" customWidth="1"/>
    <col min="7" max="7" width="14.28515625" bestFit="1" customWidth="1"/>
    <col min="9" max="9" width="13.28515625" bestFit="1" customWidth="1"/>
    <col min="10" max="10" width="15.5703125" customWidth="1"/>
    <col min="11" max="11" width="14.28515625" bestFit="1" customWidth="1"/>
    <col min="12" max="13" width="13.28515625" bestFit="1" customWidth="1"/>
    <col min="14" max="14" width="10.5703125" bestFit="1" customWidth="1"/>
  </cols>
  <sheetData>
    <row r="1" spans="1:14" ht="23.25">
      <c r="A1" s="148" t="s">
        <v>11</v>
      </c>
      <c r="B1" s="148"/>
      <c r="C1" s="148"/>
      <c r="D1" s="148"/>
      <c r="E1" s="148"/>
      <c r="F1" s="148"/>
      <c r="G1" s="148"/>
    </row>
    <row r="3" spans="1:14">
      <c r="A3" s="5" t="s">
        <v>0</v>
      </c>
      <c r="B3" s="5" t="s">
        <v>4</v>
      </c>
      <c r="C3" s="5" t="s">
        <v>6</v>
      </c>
      <c r="D3" s="5" t="s">
        <v>15</v>
      </c>
      <c r="E3" s="5" t="s">
        <v>23</v>
      </c>
      <c r="F3" s="5" t="s">
        <v>1</v>
      </c>
      <c r="G3" s="5" t="s">
        <v>3</v>
      </c>
    </row>
    <row r="5" spans="1:14">
      <c r="A5" s="1">
        <v>1</v>
      </c>
      <c r="B5" s="1" t="s">
        <v>85</v>
      </c>
      <c r="C5" s="4" t="s">
        <v>7</v>
      </c>
      <c r="D5" s="2">
        <v>193.8</v>
      </c>
      <c r="E5" s="2">
        <f>G20</f>
        <v>7521.4440000000004</v>
      </c>
      <c r="F5" s="2">
        <v>6</v>
      </c>
      <c r="G5" s="3">
        <f t="shared" ref="G5:G14" si="0">D5*E5*F5</f>
        <v>8745935.0832000002</v>
      </c>
    </row>
    <row r="6" spans="1:14">
      <c r="A6" s="1">
        <v>2</v>
      </c>
      <c r="B6" s="1" t="s">
        <v>222</v>
      </c>
      <c r="C6" s="4" t="s">
        <v>7</v>
      </c>
      <c r="D6" s="2">
        <v>81.760000000000005</v>
      </c>
      <c r="E6" s="2">
        <f>G25</f>
        <v>7920</v>
      </c>
      <c r="F6" s="2">
        <v>6</v>
      </c>
      <c r="G6" s="3">
        <f t="shared" si="0"/>
        <v>3885235.2</v>
      </c>
    </row>
    <row r="7" spans="1:14">
      <c r="A7" s="1">
        <v>3</v>
      </c>
      <c r="B7" s="1" t="s">
        <v>13</v>
      </c>
      <c r="C7" s="4" t="s">
        <v>7</v>
      </c>
      <c r="D7" s="2">
        <v>166.33</v>
      </c>
      <c r="E7" s="2">
        <v>1590</v>
      </c>
      <c r="F7" s="2">
        <v>6</v>
      </c>
      <c r="G7" s="3">
        <f t="shared" si="0"/>
        <v>1586788.2000000002</v>
      </c>
      <c r="I7" s="7"/>
    </row>
    <row r="8" spans="1:14">
      <c r="A8" s="1">
        <v>4</v>
      </c>
      <c r="B8" s="1" t="s">
        <v>14</v>
      </c>
      <c r="C8" s="4" t="s">
        <v>7</v>
      </c>
      <c r="D8" s="2">
        <v>70</v>
      </c>
      <c r="E8" s="2">
        <f>G26-E7</f>
        <v>6330</v>
      </c>
      <c r="F8" s="2">
        <v>6</v>
      </c>
      <c r="G8" s="3">
        <f t="shared" si="0"/>
        <v>2658600</v>
      </c>
    </row>
    <row r="9" spans="1:14">
      <c r="A9" s="1">
        <v>5</v>
      </c>
      <c r="B9" s="1" t="s">
        <v>9</v>
      </c>
      <c r="C9" s="4" t="s">
        <v>7</v>
      </c>
      <c r="D9" s="2">
        <v>451.11</v>
      </c>
      <c r="E9" s="2">
        <v>200</v>
      </c>
      <c r="F9" s="2">
        <v>6</v>
      </c>
      <c r="G9" s="3">
        <f t="shared" si="0"/>
        <v>541332</v>
      </c>
    </row>
    <row r="10" spans="1:14">
      <c r="A10" s="1">
        <v>6</v>
      </c>
      <c r="B10" s="1" t="s">
        <v>51</v>
      </c>
      <c r="C10" s="4" t="s">
        <v>7</v>
      </c>
      <c r="D10" s="2">
        <v>198.07</v>
      </c>
      <c r="E10" s="2">
        <f>15*3*11</f>
        <v>495</v>
      </c>
      <c r="F10" s="2">
        <v>6</v>
      </c>
      <c r="G10" s="3">
        <f t="shared" si="0"/>
        <v>588267.89999999991</v>
      </c>
      <c r="N10" s="7"/>
    </row>
    <row r="11" spans="1:14">
      <c r="A11" s="1">
        <v>7</v>
      </c>
      <c r="B11" s="1" t="s">
        <v>5</v>
      </c>
      <c r="C11" s="4" t="s">
        <v>8</v>
      </c>
      <c r="D11" s="2">
        <v>9.7100000000000009</v>
      </c>
      <c r="E11" s="2">
        <v>4000</v>
      </c>
      <c r="F11" s="2">
        <v>6</v>
      </c>
      <c r="G11" s="3">
        <f t="shared" si="0"/>
        <v>233040</v>
      </c>
    </row>
    <row r="12" spans="1:14">
      <c r="A12" s="1">
        <v>8</v>
      </c>
      <c r="B12" s="1" t="s">
        <v>205</v>
      </c>
      <c r="C12" s="4" t="s">
        <v>104</v>
      </c>
      <c r="D12" s="2">
        <v>0.09</v>
      </c>
      <c r="E12" s="2">
        <v>8360000</v>
      </c>
      <c r="F12" s="2">
        <v>6</v>
      </c>
      <c r="G12" s="3">
        <f t="shared" si="0"/>
        <v>4514400</v>
      </c>
      <c r="I12" s="72"/>
      <c r="K12" s="6"/>
    </row>
    <row r="13" spans="1:14">
      <c r="A13" s="1">
        <v>9</v>
      </c>
      <c r="B13" s="1" t="s">
        <v>210</v>
      </c>
      <c r="C13" s="4" t="s">
        <v>12</v>
      </c>
      <c r="D13" s="2">
        <v>1.01</v>
      </c>
      <c r="E13" s="2">
        <v>4200</v>
      </c>
      <c r="F13" s="2">
        <v>2</v>
      </c>
      <c r="G13" s="3">
        <f t="shared" si="0"/>
        <v>8484</v>
      </c>
      <c r="I13" s="72"/>
    </row>
    <row r="14" spans="1:14">
      <c r="A14" s="1">
        <v>10</v>
      </c>
      <c r="B14" s="1" t="s">
        <v>19</v>
      </c>
      <c r="C14" s="4" t="s">
        <v>6</v>
      </c>
      <c r="D14" s="2">
        <v>214</v>
      </c>
      <c r="E14" s="2">
        <f>G35</f>
        <v>264</v>
      </c>
      <c r="F14" s="2">
        <v>6</v>
      </c>
      <c r="G14" s="3">
        <f t="shared" si="0"/>
        <v>338976</v>
      </c>
      <c r="I14" s="72"/>
    </row>
    <row r="16" spans="1:14">
      <c r="A16" s="1"/>
      <c r="B16" s="1" t="s">
        <v>16</v>
      </c>
      <c r="C16" s="4"/>
      <c r="D16" s="2"/>
      <c r="E16" s="2"/>
      <c r="F16" s="2"/>
      <c r="G16" s="3">
        <f>SUM(G5:G14)</f>
        <v>23101058.383199997</v>
      </c>
    </row>
    <row r="18" spans="1:7">
      <c r="D18" s="7"/>
      <c r="E18" s="13"/>
      <c r="G18" s="7">
        <f>G16/F14</f>
        <v>3850176.3971999995</v>
      </c>
    </row>
    <row r="19" spans="1:7" s="72" customFormat="1">
      <c r="D19" s="7"/>
      <c r="E19" s="13"/>
      <c r="G19" s="7"/>
    </row>
    <row r="20" spans="1:7">
      <c r="B20" t="s">
        <v>20</v>
      </c>
      <c r="C20">
        <v>0.7</v>
      </c>
      <c r="D20" t="s">
        <v>18</v>
      </c>
      <c r="E20" s="6">
        <v>358164</v>
      </c>
      <c r="F20" t="s">
        <v>17</v>
      </c>
      <c r="G20" s="7">
        <f>C20*E20*30/1000</f>
        <v>7521.4440000000004</v>
      </c>
    </row>
    <row r="21" spans="1:7" s="72" customFormat="1">
      <c r="E21" s="6"/>
      <c r="G21" s="7"/>
    </row>
    <row r="22" spans="1:7" s="72" customFormat="1">
      <c r="B22" s="72" t="s">
        <v>4</v>
      </c>
      <c r="C22" s="72" t="s">
        <v>127</v>
      </c>
      <c r="E22" s="6" t="s">
        <v>227</v>
      </c>
      <c r="G22" s="7" t="s">
        <v>226</v>
      </c>
    </row>
    <row r="23" spans="1:7" ht="30">
      <c r="A23" s="72"/>
      <c r="B23" s="8" t="s">
        <v>21</v>
      </c>
      <c r="C23" s="9" t="s">
        <v>22</v>
      </c>
      <c r="E23" s="6">
        <v>9</v>
      </c>
      <c r="G23" s="7">
        <f>G29</f>
        <v>4752</v>
      </c>
    </row>
    <row r="24" spans="1:7" ht="30">
      <c r="A24" s="72"/>
      <c r="B24" s="8" t="s">
        <v>26</v>
      </c>
      <c r="C24" s="9" t="s">
        <v>22</v>
      </c>
      <c r="E24" s="6">
        <v>11</v>
      </c>
      <c r="G24" s="7">
        <f>G30</f>
        <v>2904</v>
      </c>
    </row>
    <row r="25" spans="1:7" ht="30">
      <c r="B25" s="8" t="s">
        <v>27</v>
      </c>
      <c r="C25" s="9" t="s">
        <v>22</v>
      </c>
      <c r="E25" s="6">
        <v>6</v>
      </c>
      <c r="G25" s="7">
        <f>G31</f>
        <v>7920</v>
      </c>
    </row>
    <row r="26" spans="1:7" ht="30">
      <c r="B26" s="8" t="s">
        <v>28</v>
      </c>
      <c r="C26" s="9" t="s">
        <v>22</v>
      </c>
      <c r="E26" s="6">
        <v>6</v>
      </c>
      <c r="F26" s="10"/>
      <c r="G26" s="7">
        <f>G32</f>
        <v>7920</v>
      </c>
    </row>
    <row r="28" spans="1:7" s="72" customFormat="1">
      <c r="B28" s="72" t="s">
        <v>4</v>
      </c>
      <c r="C28" s="73" t="s">
        <v>228</v>
      </c>
      <c r="G28" s="72" t="s">
        <v>226</v>
      </c>
    </row>
    <row r="29" spans="1:7" ht="30">
      <c r="B29" s="8" t="s">
        <v>24</v>
      </c>
      <c r="C29" t="s">
        <v>30</v>
      </c>
      <c r="G29" s="7">
        <f>9*12*2*22</f>
        <v>4752</v>
      </c>
    </row>
    <row r="30" spans="1:7" ht="30">
      <c r="B30" s="8" t="s">
        <v>25</v>
      </c>
      <c r="C30" s="72" t="s">
        <v>220</v>
      </c>
      <c r="G30" s="6">
        <f>11*3*4*22</f>
        <v>2904</v>
      </c>
    </row>
    <row r="31" spans="1:7" ht="30">
      <c r="B31" s="8" t="s">
        <v>232</v>
      </c>
      <c r="C31" s="72" t="s">
        <v>231</v>
      </c>
      <c r="G31" s="7">
        <f>10*6*6*22</f>
        <v>7920</v>
      </c>
    </row>
    <row r="32" spans="1:7" s="72" customFormat="1" ht="30">
      <c r="A32"/>
      <c r="B32" s="8" t="s">
        <v>224</v>
      </c>
      <c r="C32" s="72" t="s">
        <v>225</v>
      </c>
      <c r="G32" s="7">
        <f>6*10*6*22</f>
        <v>7920</v>
      </c>
    </row>
    <row r="34" spans="1:7" ht="30">
      <c r="A34" s="72"/>
      <c r="B34" s="8" t="s">
        <v>29</v>
      </c>
      <c r="C34" t="s">
        <v>31</v>
      </c>
      <c r="G34" s="7">
        <f>3*1.7*2*22</f>
        <v>224.39999999999998</v>
      </c>
    </row>
    <row r="35" spans="1:7">
      <c r="C35" t="s">
        <v>32</v>
      </c>
      <c r="G35" s="6">
        <f>3*2*2*22</f>
        <v>264</v>
      </c>
    </row>
    <row r="38" spans="1:7">
      <c r="G38" s="6"/>
    </row>
    <row r="40" spans="1:7">
      <c r="B40" t="s">
        <v>33</v>
      </c>
    </row>
    <row r="41" spans="1:7">
      <c r="B41" t="s">
        <v>35</v>
      </c>
    </row>
    <row r="42" spans="1:7">
      <c r="B42" t="s">
        <v>45</v>
      </c>
      <c r="C42" t="s">
        <v>36</v>
      </c>
      <c r="D42" s="6">
        <v>57.2</v>
      </c>
      <c r="E42" t="s">
        <v>53</v>
      </c>
      <c r="F42" t="s">
        <v>56</v>
      </c>
    </row>
    <row r="43" spans="1:7">
      <c r="B43" t="s">
        <v>44</v>
      </c>
      <c r="C43" t="s">
        <v>36</v>
      </c>
      <c r="D43" s="6">
        <v>119</v>
      </c>
      <c r="E43" t="s">
        <v>53</v>
      </c>
      <c r="F43" t="s">
        <v>56</v>
      </c>
    </row>
    <row r="44" spans="1:7">
      <c r="B44" t="s">
        <v>43</v>
      </c>
      <c r="C44" t="s">
        <v>36</v>
      </c>
      <c r="D44" s="6">
        <v>37.299999999999997</v>
      </c>
      <c r="E44" t="s">
        <v>53</v>
      </c>
      <c r="F44" t="s">
        <v>56</v>
      </c>
    </row>
    <row r="45" spans="1:7">
      <c r="B45" t="s">
        <v>42</v>
      </c>
      <c r="C45" t="s">
        <v>36</v>
      </c>
      <c r="D45" s="6">
        <v>77.7</v>
      </c>
      <c r="E45" t="s">
        <v>54</v>
      </c>
      <c r="F45" t="s">
        <v>57</v>
      </c>
    </row>
    <row r="46" spans="1:7">
      <c r="B46" t="s">
        <v>39</v>
      </c>
      <c r="C46" t="s">
        <v>36</v>
      </c>
      <c r="D46" s="6">
        <v>53.2</v>
      </c>
      <c r="E46" t="s">
        <v>54</v>
      </c>
      <c r="F46" t="s">
        <v>57</v>
      </c>
    </row>
    <row r="47" spans="1:7">
      <c r="B47" t="s">
        <v>40</v>
      </c>
      <c r="C47" t="s">
        <v>36</v>
      </c>
      <c r="D47" s="6">
        <v>95.9</v>
      </c>
      <c r="E47" t="s">
        <v>54</v>
      </c>
      <c r="F47" t="s">
        <v>57</v>
      </c>
    </row>
    <row r="48" spans="1:7">
      <c r="B48" t="s">
        <v>38</v>
      </c>
      <c r="C48" t="s">
        <v>36</v>
      </c>
      <c r="D48" s="6">
        <v>23.2</v>
      </c>
      <c r="E48" t="s">
        <v>55</v>
      </c>
      <c r="F48" t="s">
        <v>58</v>
      </c>
    </row>
    <row r="49" spans="1:9">
      <c r="B49" t="s">
        <v>37</v>
      </c>
      <c r="C49" t="s">
        <v>36</v>
      </c>
      <c r="D49" s="6">
        <v>124</v>
      </c>
      <c r="E49" t="s">
        <v>55</v>
      </c>
      <c r="F49" t="s">
        <v>58</v>
      </c>
    </row>
    <row r="50" spans="1:9">
      <c r="B50" t="s">
        <v>41</v>
      </c>
      <c r="C50" t="s">
        <v>36</v>
      </c>
      <c r="D50" s="6">
        <v>39.700000000000003</v>
      </c>
      <c r="E50" t="s">
        <v>55</v>
      </c>
      <c r="F50" t="s">
        <v>58</v>
      </c>
    </row>
    <row r="52" spans="1:9">
      <c r="B52" t="s">
        <v>34</v>
      </c>
      <c r="C52" s="72" t="s">
        <v>36</v>
      </c>
      <c r="D52" s="7">
        <f>SUM(D42:D50)</f>
        <v>627.20000000000005</v>
      </c>
    </row>
    <row r="53" spans="1:9">
      <c r="D53" s="7"/>
    </row>
    <row r="54" spans="1:9">
      <c r="B54" t="s">
        <v>46</v>
      </c>
    </row>
    <row r="56" spans="1:9">
      <c r="B56" t="s">
        <v>47</v>
      </c>
      <c r="D56">
        <v>2</v>
      </c>
      <c r="E56" s="7">
        <f>D56*G23/9</f>
        <v>1056</v>
      </c>
      <c r="F56" t="s">
        <v>7</v>
      </c>
      <c r="G56" s="6">
        <f>E56*D5</f>
        <v>204652.80000000002</v>
      </c>
      <c r="H56" t="s">
        <v>91</v>
      </c>
    </row>
    <row r="57" spans="1:9">
      <c r="B57" t="s">
        <v>52</v>
      </c>
      <c r="D57">
        <v>15</v>
      </c>
      <c r="E57" s="7"/>
      <c r="G57" s="6">
        <f>G10/6</f>
        <v>98044.64999999998</v>
      </c>
      <c r="H57" t="s">
        <v>91</v>
      </c>
    </row>
    <row r="58" spans="1:9">
      <c r="B58" t="s">
        <v>48</v>
      </c>
      <c r="D58">
        <v>2</v>
      </c>
      <c r="E58" s="7">
        <f>E12</f>
        <v>8360000</v>
      </c>
      <c r="F58" t="str">
        <f>C12</f>
        <v>m²/mês</v>
      </c>
      <c r="G58" s="7">
        <f>G12/6</f>
        <v>752400</v>
      </c>
      <c r="H58" t="s">
        <v>91</v>
      </c>
    </row>
    <row r="59" spans="1:9">
      <c r="B59" t="s">
        <v>49</v>
      </c>
      <c r="D59">
        <v>2</v>
      </c>
      <c r="E59" s="7">
        <f>E58</f>
        <v>8360000</v>
      </c>
      <c r="F59" t="str">
        <f>F58</f>
        <v>m²/mês</v>
      </c>
    </row>
    <row r="60" spans="1:9">
      <c r="B60" t="s">
        <v>88</v>
      </c>
      <c r="D60">
        <f>30+D56*3+3*2</f>
        <v>42</v>
      </c>
      <c r="E60" s="7"/>
      <c r="G60" s="7"/>
    </row>
    <row r="61" spans="1:9">
      <c r="B61" t="s">
        <v>101</v>
      </c>
      <c r="D61">
        <v>1</v>
      </c>
    </row>
    <row r="62" spans="1:9" s="72" customFormat="1">
      <c r="A62"/>
      <c r="B62" s="72" t="s">
        <v>221</v>
      </c>
      <c r="D62" s="72">
        <v>4</v>
      </c>
    </row>
    <row r="64" spans="1:9">
      <c r="A64" s="72"/>
      <c r="B64" s="145" t="s">
        <v>219</v>
      </c>
      <c r="C64" s="145"/>
      <c r="D64" s="145"/>
      <c r="E64" s="145"/>
      <c r="F64" s="145"/>
      <c r="G64" s="146">
        <f>SUM(G56:G60)</f>
        <v>1055097.45</v>
      </c>
      <c r="H64" s="145"/>
      <c r="I64" s="147">
        <f>G64/G$18</f>
        <v>0.27403872995723222</v>
      </c>
    </row>
    <row r="68" spans="2:4">
      <c r="B68" t="s">
        <v>33</v>
      </c>
    </row>
    <row r="69" spans="2:4">
      <c r="B69" t="s">
        <v>59</v>
      </c>
    </row>
    <row r="71" spans="2:4">
      <c r="B71" t="s">
        <v>60</v>
      </c>
      <c r="C71" t="s">
        <v>36</v>
      </c>
      <c r="D71">
        <v>293</v>
      </c>
    </row>
    <row r="72" spans="2:4">
      <c r="B72" t="s">
        <v>62</v>
      </c>
      <c r="C72" t="s">
        <v>36</v>
      </c>
      <c r="D72">
        <v>45.5</v>
      </c>
    </row>
    <row r="73" spans="2:4">
      <c r="B73" t="s">
        <v>61</v>
      </c>
      <c r="C73" t="s">
        <v>36</v>
      </c>
      <c r="D73">
        <v>104</v>
      </c>
    </row>
    <row r="74" spans="2:4">
      <c r="B74" t="s">
        <v>64</v>
      </c>
      <c r="C74" t="s">
        <v>36</v>
      </c>
      <c r="D74">
        <v>44</v>
      </c>
    </row>
    <row r="75" spans="2:4">
      <c r="B75" t="s">
        <v>65</v>
      </c>
      <c r="C75" t="s">
        <v>36</v>
      </c>
      <c r="D75">
        <v>33.9</v>
      </c>
    </row>
    <row r="76" spans="2:4">
      <c r="B76" t="s">
        <v>66</v>
      </c>
      <c r="C76" t="s">
        <v>36</v>
      </c>
      <c r="D76">
        <v>8.35</v>
      </c>
    </row>
    <row r="77" spans="2:4">
      <c r="B77" t="s">
        <v>80</v>
      </c>
      <c r="C77" t="s">
        <v>36</v>
      </c>
      <c r="D77">
        <v>161</v>
      </c>
    </row>
    <row r="78" spans="2:4">
      <c r="B78" t="s">
        <v>81</v>
      </c>
      <c r="C78" t="s">
        <v>36</v>
      </c>
      <c r="D78">
        <v>21.8</v>
      </c>
    </row>
    <row r="80" spans="2:4">
      <c r="B80" t="s">
        <v>59</v>
      </c>
      <c r="C80" s="72" t="s">
        <v>36</v>
      </c>
      <c r="D80" s="7">
        <f>SUM(D71:D78)</f>
        <v>711.55</v>
      </c>
    </row>
    <row r="81" spans="2:8">
      <c r="D81" s="7"/>
    </row>
    <row r="82" spans="2:8">
      <c r="B82" t="s">
        <v>46</v>
      </c>
    </row>
    <row r="84" spans="2:8">
      <c r="B84" t="s">
        <v>47</v>
      </c>
      <c r="D84">
        <v>4</v>
      </c>
      <c r="E84" s="6">
        <f>G$29/9*D84</f>
        <v>2112</v>
      </c>
      <c r="F84" t="s">
        <v>7</v>
      </c>
      <c r="G84" s="6">
        <f>E84*D5</f>
        <v>409305.60000000003</v>
      </c>
      <c r="H84" t="s">
        <v>90</v>
      </c>
    </row>
    <row r="85" spans="2:8">
      <c r="B85" t="s">
        <v>50</v>
      </c>
      <c r="D85">
        <v>6</v>
      </c>
      <c r="E85" s="6">
        <f>G$30/10*D85</f>
        <v>1742.3999999999999</v>
      </c>
      <c r="F85" t="s">
        <v>7</v>
      </c>
      <c r="G85" s="6">
        <f>E85*D5</f>
        <v>337677.12</v>
      </c>
      <c r="H85" t="s">
        <v>90</v>
      </c>
    </row>
    <row r="86" spans="2:8">
      <c r="B86" t="s">
        <v>86</v>
      </c>
      <c r="D86">
        <v>3</v>
      </c>
      <c r="E86" s="11">
        <f>G$31/10*D86</f>
        <v>2376</v>
      </c>
      <c r="F86" t="s">
        <v>7</v>
      </c>
      <c r="G86" s="6">
        <f>E86*D6</f>
        <v>194261.76000000001</v>
      </c>
      <c r="H86" t="s">
        <v>89</v>
      </c>
    </row>
    <row r="87" spans="2:8">
      <c r="B87" t="s">
        <v>83</v>
      </c>
      <c r="D87">
        <v>1</v>
      </c>
      <c r="E87" s="7">
        <f>D87*E$7/2</f>
        <v>795</v>
      </c>
      <c r="F87" t="s">
        <v>7</v>
      </c>
      <c r="G87" s="6">
        <f>E87*D7</f>
        <v>132232.35</v>
      </c>
      <c r="H87" t="s">
        <v>89</v>
      </c>
    </row>
    <row r="88" spans="2:8">
      <c r="B88" t="s">
        <v>84</v>
      </c>
      <c r="D88">
        <v>2</v>
      </c>
      <c r="E88" s="7">
        <f>D88*E$8/4</f>
        <v>3165</v>
      </c>
      <c r="F88" t="s">
        <v>7</v>
      </c>
      <c r="G88" s="6">
        <f>D8*E88</f>
        <v>221550</v>
      </c>
      <c r="H88" t="s">
        <v>89</v>
      </c>
    </row>
    <row r="89" spans="2:8" s="72" customFormat="1">
      <c r="B89" s="72" t="s">
        <v>9</v>
      </c>
      <c r="G89" s="7">
        <f>G$9/F$9/2</f>
        <v>45111</v>
      </c>
    </row>
    <row r="90" spans="2:8" s="72" customFormat="1">
      <c r="B90" s="72" t="s">
        <v>5</v>
      </c>
      <c r="G90" s="7">
        <f>G$11/6/2</f>
        <v>19420</v>
      </c>
    </row>
    <row r="91" spans="2:8" s="72" customFormat="1">
      <c r="B91" s="72" t="s">
        <v>10</v>
      </c>
      <c r="G91" s="7">
        <f>G$13/2/2</f>
        <v>2121</v>
      </c>
    </row>
    <row r="92" spans="2:8" s="72" customFormat="1">
      <c r="B92" s="72" t="s">
        <v>19</v>
      </c>
      <c r="G92" s="7">
        <f>G$14/6/2</f>
        <v>28248</v>
      </c>
    </row>
    <row r="93" spans="2:8">
      <c r="B93" t="s">
        <v>88</v>
      </c>
      <c r="D93">
        <f>60+D84*3+SUM(D85:D88)*3</f>
        <v>108</v>
      </c>
    </row>
    <row r="94" spans="2:8">
      <c r="B94" t="s">
        <v>99</v>
      </c>
      <c r="D94">
        <v>2</v>
      </c>
    </row>
    <row r="95" spans="2:8">
      <c r="B95" t="s">
        <v>101</v>
      </c>
      <c r="D95">
        <v>1</v>
      </c>
    </row>
    <row r="97" spans="2:9">
      <c r="B97" s="145" t="s">
        <v>217</v>
      </c>
      <c r="C97" s="145"/>
      <c r="D97" s="145"/>
      <c r="E97" s="145"/>
      <c r="F97" s="145"/>
      <c r="G97" s="146">
        <f>SUM(G84:G94)</f>
        <v>1389926.83</v>
      </c>
      <c r="H97" s="145"/>
      <c r="I97" s="147">
        <f>G97/G$18</f>
        <v>0.36100341558657151</v>
      </c>
    </row>
    <row r="99" spans="2:9">
      <c r="B99" t="s">
        <v>33</v>
      </c>
    </row>
    <row r="100" spans="2:9">
      <c r="B100" t="s">
        <v>67</v>
      </c>
    </row>
    <row r="102" spans="2:9">
      <c r="B102" t="s">
        <v>63</v>
      </c>
      <c r="C102" t="s">
        <v>36</v>
      </c>
      <c r="D102">
        <v>91.4</v>
      </c>
    </row>
    <row r="103" spans="2:9">
      <c r="B103" t="s">
        <v>68</v>
      </c>
      <c r="C103" t="s">
        <v>36</v>
      </c>
      <c r="D103">
        <v>282</v>
      </c>
    </row>
    <row r="104" spans="2:9">
      <c r="B104" t="s">
        <v>69</v>
      </c>
      <c r="C104" t="s">
        <v>36</v>
      </c>
      <c r="D104">
        <v>94.2</v>
      </c>
    </row>
    <row r="105" spans="2:9">
      <c r="B105" t="s">
        <v>70</v>
      </c>
      <c r="C105" t="s">
        <v>36</v>
      </c>
      <c r="D105">
        <v>41.7</v>
      </c>
    </row>
    <row r="106" spans="2:9">
      <c r="B106" t="s">
        <v>71</v>
      </c>
      <c r="C106" t="s">
        <v>36</v>
      </c>
      <c r="D106">
        <v>56.8</v>
      </c>
    </row>
    <row r="107" spans="2:9">
      <c r="B107" t="s">
        <v>72</v>
      </c>
      <c r="C107" t="s">
        <v>36</v>
      </c>
      <c r="D107">
        <v>16.5</v>
      </c>
    </row>
    <row r="108" spans="2:9">
      <c r="B108" t="s">
        <v>73</v>
      </c>
      <c r="C108" t="s">
        <v>36</v>
      </c>
      <c r="D108">
        <v>10.8</v>
      </c>
    </row>
    <row r="109" spans="2:9">
      <c r="B109" t="s">
        <v>74</v>
      </c>
      <c r="C109" t="s">
        <v>36</v>
      </c>
      <c r="D109">
        <v>21.3</v>
      </c>
    </row>
    <row r="110" spans="2:9">
      <c r="B110" t="s">
        <v>75</v>
      </c>
      <c r="C110" t="s">
        <v>36</v>
      </c>
      <c r="D110">
        <v>4.93</v>
      </c>
    </row>
    <row r="111" spans="2:9">
      <c r="B111" t="s">
        <v>76</v>
      </c>
      <c r="C111" t="s">
        <v>36</v>
      </c>
      <c r="D111">
        <v>4.54</v>
      </c>
    </row>
    <row r="112" spans="2:9">
      <c r="B112" t="s">
        <v>77</v>
      </c>
      <c r="C112" t="s">
        <v>36</v>
      </c>
      <c r="D112">
        <v>2.89</v>
      </c>
    </row>
    <row r="113" spans="2:11">
      <c r="B113" t="s">
        <v>78</v>
      </c>
      <c r="C113" t="s">
        <v>36</v>
      </c>
      <c r="D113">
        <v>1.51</v>
      </c>
    </row>
    <row r="114" spans="2:11">
      <c r="B114" t="s">
        <v>79</v>
      </c>
      <c r="C114" t="s">
        <v>36</v>
      </c>
      <c r="D114">
        <v>36.5</v>
      </c>
    </row>
    <row r="115" spans="2:11">
      <c r="B115" t="s">
        <v>82</v>
      </c>
      <c r="C115" t="s">
        <v>36</v>
      </c>
      <c r="D115">
        <v>67.599999999999994</v>
      </c>
    </row>
    <row r="117" spans="2:11">
      <c r="B117" s="72" t="s">
        <v>67</v>
      </c>
      <c r="C117" s="72" t="s">
        <v>36</v>
      </c>
      <c r="D117" s="7">
        <f>SUM(D102:D115)</f>
        <v>732.66999999999973</v>
      </c>
      <c r="E117" s="7">
        <f>D117+D80+D52</f>
        <v>2071.42</v>
      </c>
    </row>
    <row r="119" spans="2:11">
      <c r="B119" t="s">
        <v>46</v>
      </c>
    </row>
    <row r="121" spans="2:11">
      <c r="B121" t="s">
        <v>47</v>
      </c>
      <c r="D121">
        <v>3</v>
      </c>
      <c r="E121" s="6">
        <f>G$29/9*D121</f>
        <v>1584</v>
      </c>
      <c r="F121" t="s">
        <v>7</v>
      </c>
      <c r="G121" s="6">
        <f>E121*D5</f>
        <v>306979.20000000001</v>
      </c>
      <c r="H121" t="s">
        <v>92</v>
      </c>
      <c r="J121" s="72"/>
    </row>
    <row r="122" spans="2:11">
      <c r="B122" t="s">
        <v>50</v>
      </c>
      <c r="D122">
        <v>5</v>
      </c>
      <c r="E122" s="6">
        <f>G$30/11*D122</f>
        <v>1320</v>
      </c>
      <c r="F122" t="s">
        <v>7</v>
      </c>
      <c r="G122" s="6">
        <f>E122*D5</f>
        <v>255816.00000000003</v>
      </c>
      <c r="H122" t="s">
        <v>92</v>
      </c>
      <c r="J122" s="72"/>
      <c r="K122" s="72"/>
    </row>
    <row r="123" spans="2:11">
      <c r="B123" t="s">
        <v>86</v>
      </c>
      <c r="D123">
        <v>3</v>
      </c>
      <c r="E123" s="11">
        <f>G$31/6*D123</f>
        <v>3960</v>
      </c>
      <c r="F123" t="s">
        <v>7</v>
      </c>
      <c r="G123" s="6">
        <f>E123*D6</f>
        <v>323769.60000000003</v>
      </c>
      <c r="H123" t="s">
        <v>92</v>
      </c>
      <c r="J123" s="72"/>
      <c r="K123" s="72"/>
    </row>
    <row r="124" spans="2:11">
      <c r="B124" t="s">
        <v>83</v>
      </c>
      <c r="D124">
        <v>1</v>
      </c>
      <c r="E124" s="7">
        <f>D124*E$7/2</f>
        <v>795</v>
      </c>
      <c r="F124" t="s">
        <v>7</v>
      </c>
      <c r="G124" s="7">
        <f>E124*D7</f>
        <v>132232.35</v>
      </c>
      <c r="H124" t="s">
        <v>92</v>
      </c>
      <c r="J124" s="72"/>
      <c r="K124" s="72"/>
    </row>
    <row r="125" spans="2:11">
      <c r="B125" t="s">
        <v>84</v>
      </c>
      <c r="D125">
        <v>2</v>
      </c>
      <c r="E125" s="7">
        <f>D125*E$8/4</f>
        <v>3165</v>
      </c>
      <c r="F125" t="s">
        <v>7</v>
      </c>
      <c r="G125" s="7">
        <f>E125*D8</f>
        <v>221550</v>
      </c>
      <c r="H125" t="s">
        <v>92</v>
      </c>
      <c r="J125" s="72"/>
      <c r="K125" s="72"/>
    </row>
    <row r="126" spans="2:11">
      <c r="B126" t="s">
        <v>9</v>
      </c>
      <c r="G126" s="7">
        <f>G$9/F$9/2</f>
        <v>45111</v>
      </c>
    </row>
    <row r="127" spans="2:11">
      <c r="B127" t="s">
        <v>5</v>
      </c>
      <c r="G127" s="7">
        <f>G$11/6/2</f>
        <v>19420</v>
      </c>
    </row>
    <row r="128" spans="2:11">
      <c r="B128" t="s">
        <v>10</v>
      </c>
      <c r="G128" s="7">
        <f>G$13/2/2</f>
        <v>2121</v>
      </c>
    </row>
    <row r="129" spans="1:9">
      <c r="B129" t="s">
        <v>19</v>
      </c>
      <c r="G129" s="7">
        <f>G$14/6/2</f>
        <v>28248</v>
      </c>
    </row>
    <row r="130" spans="1:9">
      <c r="B130" t="s">
        <v>99</v>
      </c>
      <c r="D130">
        <v>2</v>
      </c>
      <c r="G130" s="7"/>
    </row>
    <row r="131" spans="1:9">
      <c r="B131" t="s">
        <v>88</v>
      </c>
      <c r="D131">
        <f>40+D121*3+SUM(D122:D125)*3</f>
        <v>82</v>
      </c>
    </row>
    <row r="132" spans="1:9">
      <c r="B132" t="s">
        <v>101</v>
      </c>
      <c r="D132">
        <v>1</v>
      </c>
    </row>
    <row r="134" spans="1:9">
      <c r="B134" s="145" t="s">
        <v>218</v>
      </c>
      <c r="C134" s="145"/>
      <c r="D134" s="145"/>
      <c r="E134" s="145"/>
      <c r="F134" s="145"/>
      <c r="G134" s="146">
        <f>SUM(G121:G129)</f>
        <v>1335247.1499999999</v>
      </c>
      <c r="H134" s="145"/>
      <c r="I134" s="147">
        <f>G134/G$18</f>
        <v>0.34680155199409679</v>
      </c>
    </row>
    <row r="135" spans="1:9" s="72" customFormat="1">
      <c r="A135"/>
      <c r="G135" s="7"/>
      <c r="I135" s="12"/>
    </row>
    <row r="137" spans="1:9">
      <c r="A137" s="72"/>
      <c r="B137" s="145" t="s">
        <v>216</v>
      </c>
      <c r="C137" s="145"/>
      <c r="D137" s="145"/>
    </row>
    <row r="138" spans="1:9">
      <c r="B138" t="s">
        <v>93</v>
      </c>
      <c r="D138">
        <f>D56+D84+D121</f>
        <v>9</v>
      </c>
    </row>
    <row r="139" spans="1:9">
      <c r="B139" t="s">
        <v>94</v>
      </c>
      <c r="D139">
        <f>SUM(D85:D88)+SUM(D122:D125)</f>
        <v>23</v>
      </c>
    </row>
    <row r="140" spans="1:9">
      <c r="B140" t="s">
        <v>95</v>
      </c>
      <c r="D140">
        <v>3</v>
      </c>
    </row>
    <row r="141" spans="1:9">
      <c r="B141" t="s">
        <v>96</v>
      </c>
      <c r="D141">
        <v>2</v>
      </c>
    </row>
    <row r="142" spans="1:9">
      <c r="B142" t="s">
        <v>97</v>
      </c>
      <c r="D142">
        <v>3</v>
      </c>
    </row>
    <row r="143" spans="1:9">
      <c r="B143" t="s">
        <v>98</v>
      </c>
      <c r="D143">
        <v>1</v>
      </c>
    </row>
    <row r="144" spans="1:9">
      <c r="B144" t="s">
        <v>102</v>
      </c>
      <c r="D144">
        <f>D132+D95+D61</f>
        <v>3</v>
      </c>
    </row>
    <row r="145" spans="2:4">
      <c r="B145" t="s">
        <v>87</v>
      </c>
      <c r="D145">
        <f>D60+D93+D131</f>
        <v>232</v>
      </c>
    </row>
    <row r="146" spans="2:4">
      <c r="B146" t="s">
        <v>100</v>
      </c>
      <c r="D146">
        <f>D138+D139+D140+D144</f>
        <v>38</v>
      </c>
    </row>
    <row r="147" spans="2:4">
      <c r="B147" t="s">
        <v>103</v>
      </c>
      <c r="D147">
        <f>D142+D143+D141</f>
        <v>6</v>
      </c>
    </row>
  </sheetData>
  <sortState ref="B40:D44">
    <sortCondition ref="B40"/>
  </sortState>
  <mergeCells count="1">
    <mergeCell ref="A1:G1"/>
  </mergeCells>
  <pageMargins left="0.25" right="0.28000000000000003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8"/>
  <sheetViews>
    <sheetView tabSelected="1" topLeftCell="B18" workbookViewId="0">
      <selection activeCell="C22" sqref="C22"/>
    </sheetView>
  </sheetViews>
  <sheetFormatPr defaultRowHeight="15"/>
  <cols>
    <col min="1" max="1" width="12.7109375" customWidth="1"/>
    <col min="2" max="2" width="46.7109375" customWidth="1"/>
    <col min="3" max="3" width="6.7109375" customWidth="1"/>
    <col min="4" max="4" width="11.7109375" customWidth="1"/>
    <col min="5" max="5" width="9.140625" customWidth="1"/>
    <col min="6" max="6" width="13.7109375" customWidth="1"/>
    <col min="10" max="10" width="45.42578125" customWidth="1"/>
    <col min="14" max="14" width="12.5703125" customWidth="1"/>
    <col min="15" max="15" width="10.85546875" customWidth="1"/>
    <col min="16" max="16" width="12" customWidth="1"/>
  </cols>
  <sheetData>
    <row r="1" spans="1:17">
      <c r="A1" s="151" t="s">
        <v>105</v>
      </c>
      <c r="B1" s="151"/>
      <c r="C1" s="151"/>
      <c r="D1" s="151"/>
      <c r="E1" s="151"/>
      <c r="F1" s="151"/>
    </row>
    <row r="2" spans="1:17">
      <c r="A2" s="15"/>
      <c r="B2" s="16" t="s">
        <v>106</v>
      </c>
      <c r="C2" s="152">
        <v>42695</v>
      </c>
      <c r="D2" s="152"/>
      <c r="E2" s="17"/>
      <c r="F2" s="16"/>
    </row>
    <row r="3" spans="1:17">
      <c r="A3" s="16"/>
      <c r="B3" s="16"/>
      <c r="C3" s="16"/>
      <c r="D3" s="16"/>
      <c r="E3" s="17"/>
      <c r="F3" s="16"/>
    </row>
    <row r="4" spans="1:17">
      <c r="A4" s="18"/>
      <c r="B4" s="19" t="s">
        <v>170</v>
      </c>
      <c r="C4" s="153">
        <v>42732</v>
      </c>
      <c r="D4" s="153"/>
      <c r="E4" s="19"/>
      <c r="F4" s="19"/>
    </row>
    <row r="5" spans="1:17">
      <c r="A5" s="19"/>
      <c r="B5" s="19" t="s">
        <v>107</v>
      </c>
      <c r="C5" s="154">
        <v>0.14019999999999999</v>
      </c>
      <c r="D5" s="154"/>
      <c r="E5" s="19" t="s">
        <v>108</v>
      </c>
      <c r="F5" s="19"/>
    </row>
    <row r="6" spans="1:17">
      <c r="A6" s="19"/>
      <c r="B6" s="19" t="s">
        <v>109</v>
      </c>
      <c r="C6" s="154">
        <v>0.26909949999999999</v>
      </c>
      <c r="D6" s="154"/>
      <c r="E6" s="19" t="s">
        <v>108</v>
      </c>
      <c r="F6" s="19"/>
      <c r="I6" t="s">
        <v>126</v>
      </c>
      <c r="J6" t="s">
        <v>4</v>
      </c>
      <c r="M6" t="s">
        <v>127</v>
      </c>
      <c r="N6" s="72" t="s">
        <v>129</v>
      </c>
      <c r="O6" s="73" t="s">
        <v>199</v>
      </c>
      <c r="P6" s="73" t="s">
        <v>200</v>
      </c>
      <c r="Q6" s="73" t="s">
        <v>3</v>
      </c>
    </row>
    <row r="7" spans="1:17">
      <c r="A7" s="19"/>
      <c r="B7" s="19" t="s">
        <v>175</v>
      </c>
      <c r="C7" s="155">
        <v>0.8881</v>
      </c>
      <c r="D7" s="155"/>
      <c r="E7" s="19" t="s">
        <v>108</v>
      </c>
      <c r="F7" s="19"/>
    </row>
    <row r="8" spans="1:17">
      <c r="A8" s="156" t="s">
        <v>110</v>
      </c>
      <c r="B8" s="156"/>
      <c r="C8" s="156"/>
      <c r="D8" s="156"/>
      <c r="E8" s="156"/>
      <c r="F8" s="156"/>
      <c r="J8" s="72" t="s">
        <v>119</v>
      </c>
    </row>
    <row r="9" spans="1:17">
      <c r="A9" s="20"/>
      <c r="B9" s="14"/>
      <c r="C9" s="14"/>
      <c r="D9" s="14"/>
      <c r="E9" s="14"/>
      <c r="F9" s="14"/>
      <c r="I9" s="74"/>
      <c r="J9" s="150"/>
      <c r="K9" s="150"/>
      <c r="L9" s="150"/>
      <c r="M9" s="76"/>
      <c r="N9" s="77"/>
    </row>
    <row r="10" spans="1:17">
      <c r="A10" s="21"/>
      <c r="B10" s="21"/>
      <c r="C10" s="21"/>
      <c r="D10" s="21"/>
      <c r="E10" s="22"/>
      <c r="F10" s="23"/>
      <c r="I10" s="78" t="s">
        <v>130</v>
      </c>
      <c r="J10" s="150" t="s">
        <v>163</v>
      </c>
      <c r="K10" s="150"/>
      <c r="L10" s="150"/>
      <c r="M10" s="79" t="s">
        <v>128</v>
      </c>
      <c r="N10" s="80">
        <v>9.1260999999999992</v>
      </c>
      <c r="O10" s="115">
        <f>P66</f>
        <v>0.3</v>
      </c>
      <c r="P10" s="115">
        <f>P54</f>
        <v>2.15</v>
      </c>
      <c r="Q10" s="115">
        <f>SUM(N10:P10)</f>
        <v>11.5761</v>
      </c>
    </row>
    <row r="11" spans="1:17">
      <c r="A11" s="21"/>
      <c r="B11" s="21"/>
      <c r="C11" s="21"/>
      <c r="D11" s="21"/>
      <c r="E11" s="22"/>
      <c r="F11" s="23"/>
      <c r="I11" s="81" t="s">
        <v>131</v>
      </c>
      <c r="J11" s="150" t="s">
        <v>132</v>
      </c>
      <c r="K11" s="150"/>
      <c r="L11" s="150"/>
      <c r="M11" s="82" t="s">
        <v>128</v>
      </c>
      <c r="N11" s="83">
        <v>25.1341</v>
      </c>
    </row>
    <row r="12" spans="1:17">
      <c r="A12" s="24"/>
      <c r="B12" s="24"/>
      <c r="C12" s="24"/>
      <c r="D12" s="24"/>
      <c r="E12" s="25"/>
      <c r="F12" s="26"/>
    </row>
    <row r="13" spans="1:17">
      <c r="A13" s="28" t="s">
        <v>111</v>
      </c>
      <c r="B13" s="75">
        <v>1</v>
      </c>
      <c r="C13" s="29"/>
      <c r="D13" s="29"/>
      <c r="E13" s="30" t="s">
        <v>112</v>
      </c>
      <c r="F13" s="31" t="s">
        <v>7</v>
      </c>
      <c r="J13" s="72" t="s">
        <v>164</v>
      </c>
      <c r="N13" s="73" t="s">
        <v>135</v>
      </c>
      <c r="O13" s="73" t="s">
        <v>136</v>
      </c>
    </row>
    <row r="14" spans="1:17">
      <c r="A14" s="32" t="s">
        <v>113</v>
      </c>
      <c r="B14" s="149" t="s">
        <v>85</v>
      </c>
      <c r="C14" s="149"/>
      <c r="D14" s="149"/>
      <c r="E14" s="149"/>
      <c r="F14" s="149"/>
    </row>
    <row r="15" spans="1:17">
      <c r="A15" s="33" t="s">
        <v>162</v>
      </c>
      <c r="B15" s="34"/>
      <c r="C15" s="34"/>
      <c r="D15" s="34"/>
      <c r="E15" s="35" t="s">
        <v>161</v>
      </c>
      <c r="F15" s="36">
        <v>42641</v>
      </c>
      <c r="I15" s="88" t="s">
        <v>137</v>
      </c>
      <c r="J15" s="150" t="s">
        <v>138</v>
      </c>
      <c r="K15" s="150"/>
      <c r="L15" s="150"/>
      <c r="M15" s="89" t="s">
        <v>128</v>
      </c>
      <c r="N15" s="102">
        <v>19.955835294117648</v>
      </c>
      <c r="O15" s="90"/>
    </row>
    <row r="16" spans="1:17">
      <c r="A16" s="37" t="s">
        <v>114</v>
      </c>
      <c r="B16" s="37" t="s">
        <v>115</v>
      </c>
      <c r="C16" s="37" t="s">
        <v>116</v>
      </c>
      <c r="D16" s="37" t="s">
        <v>2</v>
      </c>
      <c r="E16" s="37" t="s">
        <v>117</v>
      </c>
      <c r="F16" s="37" t="s">
        <v>118</v>
      </c>
      <c r="I16" s="100" t="s">
        <v>145</v>
      </c>
      <c r="J16" s="150" t="s">
        <v>146</v>
      </c>
      <c r="K16" s="150"/>
      <c r="L16" s="150"/>
      <c r="M16" s="101" t="s">
        <v>128</v>
      </c>
      <c r="O16" s="103">
        <v>80.821835294117648</v>
      </c>
    </row>
    <row r="17" spans="1:15">
      <c r="A17" s="38"/>
      <c r="B17" s="39" t="s">
        <v>119</v>
      </c>
      <c r="C17" s="39"/>
      <c r="D17" s="39"/>
      <c r="E17" s="40"/>
      <c r="F17" s="41"/>
      <c r="I17" s="91" t="s">
        <v>139</v>
      </c>
      <c r="J17" s="150" t="s">
        <v>229</v>
      </c>
      <c r="K17" s="150"/>
      <c r="L17" s="150"/>
      <c r="M17" s="92" t="s">
        <v>128</v>
      </c>
      <c r="N17" s="93">
        <v>2.5064324999999998</v>
      </c>
    </row>
    <row r="18" spans="1:15">
      <c r="A18" s="68" t="str">
        <f>I$10</f>
        <v>I2543</v>
      </c>
      <c r="B18" s="69" t="str">
        <f>J$10</f>
        <v>SERVENTE / GARI</v>
      </c>
      <c r="C18" s="68" t="str">
        <f>M$10</f>
        <v>H</v>
      </c>
      <c r="D18" s="70">
        <v>3</v>
      </c>
      <c r="E18" s="124">
        <f>Q$10</f>
        <v>11.5761</v>
      </c>
      <c r="F18" s="125">
        <f>ROUND(E18*D18,2)</f>
        <v>34.729999999999997</v>
      </c>
      <c r="I18" s="99" t="s">
        <v>144</v>
      </c>
      <c r="J18" s="150" t="s">
        <v>230</v>
      </c>
      <c r="K18" s="150"/>
      <c r="L18" s="150"/>
      <c r="M18" s="99" t="s">
        <v>128</v>
      </c>
      <c r="O18" s="94">
        <v>8.0129887499999999</v>
      </c>
    </row>
    <row r="19" spans="1:15">
      <c r="A19" s="126" t="str">
        <f>I$11</f>
        <v>I6815</v>
      </c>
      <c r="B19" s="127" t="str">
        <f>J$11</f>
        <v>ENCARREGADO DE TURMA / FEITOR</v>
      </c>
      <c r="C19" s="126" t="str">
        <f>M$11</f>
        <v>H</v>
      </c>
      <c r="D19" s="128">
        <f>1/5</f>
        <v>0.2</v>
      </c>
      <c r="E19" s="129">
        <f>N$11</f>
        <v>25.1341</v>
      </c>
      <c r="F19" s="130">
        <f>ROUND(E19*D19,2)</f>
        <v>5.03</v>
      </c>
      <c r="I19" s="95" t="s">
        <v>140</v>
      </c>
      <c r="J19" s="150" t="s">
        <v>142</v>
      </c>
      <c r="K19" s="150"/>
      <c r="L19" s="150"/>
      <c r="M19" s="96" t="s">
        <v>128</v>
      </c>
      <c r="N19" s="97">
        <v>16.749965</v>
      </c>
    </row>
    <row r="20" spans="1:15">
      <c r="A20" s="48"/>
      <c r="B20" s="49"/>
      <c r="C20" s="49"/>
      <c r="D20" s="49"/>
      <c r="E20" s="50" t="s">
        <v>120</v>
      </c>
      <c r="F20" s="67">
        <f>F18+F19</f>
        <v>39.76</v>
      </c>
      <c r="I20" s="95" t="s">
        <v>141</v>
      </c>
      <c r="J20" s="150" t="s">
        <v>143</v>
      </c>
      <c r="K20" s="150"/>
      <c r="L20" s="150"/>
      <c r="M20" s="96" t="s">
        <v>128</v>
      </c>
      <c r="O20" s="98">
        <v>62.437831666666668</v>
      </c>
    </row>
    <row r="21" spans="1:15">
      <c r="A21" s="131"/>
      <c r="B21" s="132" t="s">
        <v>164</v>
      </c>
      <c r="C21" s="132"/>
      <c r="D21" s="132"/>
      <c r="E21" s="133"/>
      <c r="F21" s="134"/>
      <c r="I21" s="84" t="s">
        <v>133</v>
      </c>
      <c r="J21" s="150" t="s">
        <v>134</v>
      </c>
      <c r="K21" s="150"/>
      <c r="L21" s="150"/>
      <c r="M21" s="85" t="s">
        <v>128</v>
      </c>
      <c r="N21" s="86">
        <v>26.992158823529412</v>
      </c>
      <c r="O21" s="87"/>
    </row>
    <row r="22" spans="1:15">
      <c r="A22" s="68" t="str">
        <f>I$27</f>
        <v>I0585</v>
      </c>
      <c r="B22" s="69" t="str">
        <f>J$27</f>
        <v>CAMINHÃO COMPACTADOR (CHI)</v>
      </c>
      <c r="C22" s="68" t="str">
        <f>M$27</f>
        <v>H</v>
      </c>
      <c r="D22" s="70">
        <v>0</v>
      </c>
      <c r="E22" s="124">
        <f>N$27</f>
        <v>52.192980800000001</v>
      </c>
      <c r="F22" s="125">
        <f>ROUND(E22*D22,2)</f>
        <v>0</v>
      </c>
      <c r="I22" s="104" t="s">
        <v>147</v>
      </c>
      <c r="J22" s="150" t="s">
        <v>148</v>
      </c>
      <c r="K22" s="150"/>
      <c r="L22" s="150"/>
      <c r="M22" s="104" t="s">
        <v>128</v>
      </c>
      <c r="O22" s="103">
        <v>130.43274705882354</v>
      </c>
    </row>
    <row r="23" spans="1:15">
      <c r="A23" s="135" t="str">
        <f>I$28</f>
        <v>I0694</v>
      </c>
      <c r="B23" s="71" t="str">
        <f>J$28</f>
        <v>CAMINHÃO COMPACTADOR (CHP)</v>
      </c>
      <c r="C23" s="135" t="str">
        <f>M$28</f>
        <v>H</v>
      </c>
      <c r="D23" s="136">
        <v>0.6</v>
      </c>
      <c r="E23" s="129">
        <f>O$28</f>
        <v>188.24382879999999</v>
      </c>
      <c r="F23" s="71">
        <f>ROUND(E23*D23,2)</f>
        <v>112.95</v>
      </c>
      <c r="I23" s="105" t="s">
        <v>149</v>
      </c>
      <c r="J23" s="150" t="s">
        <v>150</v>
      </c>
      <c r="K23" s="150"/>
      <c r="L23" s="150"/>
      <c r="M23" s="105" t="s">
        <v>128</v>
      </c>
      <c r="N23" s="106">
        <v>26.742547999999999</v>
      </c>
    </row>
    <row r="24" spans="1:15">
      <c r="A24" s="48"/>
      <c r="B24" s="49"/>
      <c r="C24" s="49"/>
      <c r="D24" s="49"/>
      <c r="E24" s="50" t="s">
        <v>165</v>
      </c>
      <c r="F24" s="137">
        <f>F22+F23</f>
        <v>112.95</v>
      </c>
      <c r="I24" s="105" t="s">
        <v>151</v>
      </c>
      <c r="J24" s="150" t="s">
        <v>152</v>
      </c>
      <c r="K24" s="150"/>
      <c r="L24" s="150"/>
      <c r="M24" s="105" t="s">
        <v>128</v>
      </c>
      <c r="N24" s="106"/>
      <c r="O24" s="106">
        <v>121.32481466666665</v>
      </c>
    </row>
    <row r="25" spans="1:15">
      <c r="A25" s="131"/>
      <c r="B25" s="132" t="s">
        <v>121</v>
      </c>
      <c r="C25" s="132"/>
      <c r="D25" s="132"/>
      <c r="E25" s="133"/>
      <c r="F25" s="134"/>
      <c r="I25" s="107" t="s">
        <v>153</v>
      </c>
      <c r="J25" s="150" t="s">
        <v>154</v>
      </c>
      <c r="K25" s="150"/>
      <c r="L25" s="150"/>
      <c r="M25" s="107" t="s">
        <v>128</v>
      </c>
      <c r="N25" s="108">
        <v>16.451765000000002</v>
      </c>
    </row>
    <row r="26" spans="1:15">
      <c r="A26" s="68"/>
      <c r="B26" s="69"/>
      <c r="C26" s="68"/>
      <c r="D26" s="70"/>
      <c r="E26" s="138"/>
      <c r="F26" s="125">
        <v>0</v>
      </c>
      <c r="I26" s="107" t="s">
        <v>155</v>
      </c>
      <c r="J26" s="150" t="s">
        <v>156</v>
      </c>
      <c r="K26" s="150"/>
      <c r="L26" s="150"/>
      <c r="M26" s="107" t="s">
        <v>128</v>
      </c>
      <c r="N26" s="108"/>
      <c r="O26" s="108">
        <v>61.003631666666671</v>
      </c>
    </row>
    <row r="27" spans="1:15">
      <c r="A27" s="71"/>
      <c r="B27" s="71"/>
      <c r="C27" s="71"/>
      <c r="D27" s="71"/>
      <c r="E27" s="129"/>
      <c r="F27" s="139">
        <v>0</v>
      </c>
      <c r="I27" s="109" t="s">
        <v>157</v>
      </c>
      <c r="J27" s="150" t="s">
        <v>159</v>
      </c>
      <c r="K27" s="150"/>
      <c r="L27" s="150"/>
      <c r="M27" s="109" t="s">
        <v>128</v>
      </c>
      <c r="N27" s="110">
        <v>52.192980800000001</v>
      </c>
    </row>
    <row r="28" spans="1:15">
      <c r="A28" s="48"/>
      <c r="B28" s="49"/>
      <c r="C28" s="49"/>
      <c r="D28" s="49"/>
      <c r="E28" s="50" t="s">
        <v>122</v>
      </c>
      <c r="F28" s="137">
        <f>F26+F27</f>
        <v>0</v>
      </c>
      <c r="I28" s="109" t="s">
        <v>158</v>
      </c>
      <c r="J28" s="150" t="s">
        <v>160</v>
      </c>
      <c r="K28" s="150"/>
      <c r="L28" s="150"/>
      <c r="M28" s="109" t="s">
        <v>128</v>
      </c>
      <c r="N28" s="110"/>
      <c r="O28" s="110">
        <v>188.24382879999999</v>
      </c>
    </row>
    <row r="29" spans="1:15">
      <c r="A29" s="38"/>
      <c r="B29" s="39"/>
      <c r="C29" s="39"/>
      <c r="D29" s="39"/>
      <c r="E29" s="40" t="s">
        <v>123</v>
      </c>
      <c r="F29" s="59">
        <f>F20+F24+F28</f>
        <v>152.71</v>
      </c>
      <c r="I29" s="112" t="s">
        <v>166</v>
      </c>
      <c r="J29" s="150" t="s">
        <v>167</v>
      </c>
      <c r="K29" s="150"/>
      <c r="L29" s="150"/>
      <c r="M29" s="112" t="s">
        <v>128</v>
      </c>
      <c r="N29" s="113">
        <v>26.115975000000002</v>
      </c>
    </row>
    <row r="30" spans="1:15">
      <c r="A30" s="60"/>
      <c r="B30" s="27"/>
      <c r="C30" s="27"/>
      <c r="D30" s="27"/>
      <c r="E30" s="61" t="s">
        <v>124</v>
      </c>
      <c r="F30" s="62">
        <f>ROUND(F29*0.2691,2)</f>
        <v>41.09</v>
      </c>
      <c r="I30" s="112" t="s">
        <v>168</v>
      </c>
      <c r="J30" s="150" t="s">
        <v>169</v>
      </c>
      <c r="K30" s="150"/>
      <c r="L30" s="150"/>
      <c r="M30" s="112" t="s">
        <v>128</v>
      </c>
      <c r="N30" s="113"/>
      <c r="O30" s="113">
        <v>86.808475000000001</v>
      </c>
    </row>
    <row r="31" spans="1:15">
      <c r="A31" s="63"/>
      <c r="B31" s="64"/>
      <c r="C31" s="64"/>
      <c r="D31" s="64"/>
      <c r="E31" s="65" t="s">
        <v>125</v>
      </c>
      <c r="F31" s="66">
        <f>F29+F30</f>
        <v>193.8</v>
      </c>
      <c r="I31" s="114" t="s">
        <v>171</v>
      </c>
      <c r="J31" s="150" t="s">
        <v>172</v>
      </c>
      <c r="K31" s="150"/>
      <c r="L31" s="150"/>
      <c r="M31" s="114" t="s">
        <v>128</v>
      </c>
      <c r="N31" s="115">
        <v>34.831092857142863</v>
      </c>
    </row>
    <row r="32" spans="1:15">
      <c r="I32" s="114" t="s">
        <v>173</v>
      </c>
      <c r="J32" s="150" t="s">
        <v>174</v>
      </c>
      <c r="K32" s="150"/>
      <c r="L32" s="150"/>
      <c r="M32" s="114" t="s">
        <v>128</v>
      </c>
      <c r="N32" s="115"/>
      <c r="O32" s="115">
        <v>145.08180714285714</v>
      </c>
    </row>
    <row r="33" spans="1:17">
      <c r="I33" s="117" t="s">
        <v>201</v>
      </c>
      <c r="J33" s="150" t="s">
        <v>203</v>
      </c>
      <c r="K33" s="150"/>
      <c r="L33" s="150"/>
      <c r="M33" s="118" t="s">
        <v>128</v>
      </c>
      <c r="N33" s="119">
        <v>26.742547999999999</v>
      </c>
    </row>
    <row r="34" spans="1:17">
      <c r="I34" s="117" t="s">
        <v>202</v>
      </c>
      <c r="J34" s="150" t="s">
        <v>204</v>
      </c>
      <c r="K34" s="150"/>
      <c r="L34" s="150"/>
      <c r="M34" s="118" t="s">
        <v>128</v>
      </c>
      <c r="N34" s="119"/>
      <c r="O34" s="119">
        <v>105.96481466666667</v>
      </c>
    </row>
    <row r="35" spans="1:17">
      <c r="A35" s="28" t="s">
        <v>111</v>
      </c>
      <c r="B35" s="75">
        <v>2</v>
      </c>
      <c r="C35" s="29"/>
      <c r="D35" s="29"/>
      <c r="E35" s="30" t="s">
        <v>112</v>
      </c>
      <c r="F35" s="31" t="s">
        <v>7</v>
      </c>
    </row>
    <row r="36" spans="1:17">
      <c r="A36" s="32" t="s">
        <v>113</v>
      </c>
      <c r="B36" s="149" t="s">
        <v>223</v>
      </c>
      <c r="C36" s="149"/>
      <c r="D36" s="149"/>
      <c r="E36" s="149"/>
      <c r="F36" s="149"/>
    </row>
    <row r="37" spans="1:17">
      <c r="A37" s="33" t="s">
        <v>162</v>
      </c>
      <c r="B37" s="34"/>
      <c r="C37" s="34"/>
      <c r="D37" s="34"/>
      <c r="E37" s="35" t="s">
        <v>161</v>
      </c>
      <c r="F37" s="36">
        <f>F15</f>
        <v>42641</v>
      </c>
      <c r="J37" s="72" t="s">
        <v>187</v>
      </c>
      <c r="N37" s="72" t="s">
        <v>188</v>
      </c>
      <c r="O37" s="72" t="s">
        <v>189</v>
      </c>
      <c r="P37" s="73" t="s">
        <v>3</v>
      </c>
    </row>
    <row r="38" spans="1:17">
      <c r="A38" s="37" t="s">
        <v>114</v>
      </c>
      <c r="B38" s="37" t="s">
        <v>115</v>
      </c>
      <c r="C38" s="37" t="s">
        <v>116</v>
      </c>
      <c r="D38" s="37" t="s">
        <v>2</v>
      </c>
      <c r="E38" s="37" t="s">
        <v>117</v>
      </c>
      <c r="F38" s="37" t="s">
        <v>118</v>
      </c>
      <c r="O38" s="115"/>
      <c r="P38" s="115"/>
    </row>
    <row r="39" spans="1:17">
      <c r="A39" s="38"/>
      <c r="B39" s="39" t="s">
        <v>119</v>
      </c>
      <c r="C39" s="39"/>
      <c r="D39" s="39"/>
      <c r="E39" s="40"/>
      <c r="F39" s="41"/>
      <c r="I39">
        <v>1</v>
      </c>
      <c r="J39" s="72" t="s">
        <v>176</v>
      </c>
      <c r="M39" s="73" t="s">
        <v>6</v>
      </c>
      <c r="N39" s="115">
        <v>17.399999999999999</v>
      </c>
      <c r="O39" s="115">
        <v>1.25</v>
      </c>
      <c r="P39" s="115">
        <f>ROUND(O39*N39,2)</f>
        <v>21.75</v>
      </c>
    </row>
    <row r="40" spans="1:17">
      <c r="A40" s="68" t="str">
        <f>I$10</f>
        <v>I2543</v>
      </c>
      <c r="B40" s="69" t="str">
        <f>J$10</f>
        <v>SERVENTE / GARI</v>
      </c>
      <c r="C40" s="68" t="str">
        <f>M$10</f>
        <v>H</v>
      </c>
      <c r="D40" s="70">
        <v>1</v>
      </c>
      <c r="E40" s="124">
        <f>Q$10</f>
        <v>11.5761</v>
      </c>
      <c r="F40" s="125">
        <f>ROUND(E40*D40,2)</f>
        <v>11.58</v>
      </c>
      <c r="I40">
        <v>2</v>
      </c>
      <c r="J40" s="72" t="s">
        <v>177</v>
      </c>
      <c r="M40" s="73" t="s">
        <v>6</v>
      </c>
      <c r="N40" s="115">
        <v>23.94</v>
      </c>
      <c r="O40" s="115">
        <v>3.92</v>
      </c>
      <c r="P40" s="115">
        <f t="shared" ref="P40:P50" si="0">ROUND(O40*N40,2)</f>
        <v>93.84</v>
      </c>
    </row>
    <row r="41" spans="1:17">
      <c r="A41" s="126" t="str">
        <f>I$11</f>
        <v>I6815</v>
      </c>
      <c r="B41" s="127" t="str">
        <f>J$11</f>
        <v>ENCARREGADO DE TURMA / FEITOR</v>
      </c>
      <c r="C41" s="126" t="str">
        <f>M$11</f>
        <v>H</v>
      </c>
      <c r="D41" s="128">
        <f>D40/5</f>
        <v>0.2</v>
      </c>
      <c r="E41" s="129">
        <f>N$11</f>
        <v>25.1341</v>
      </c>
      <c r="F41" s="130">
        <f>ROUND(E41*D41,2)</f>
        <v>5.03</v>
      </c>
      <c r="I41">
        <v>3</v>
      </c>
      <c r="J41" s="72" t="s">
        <v>178</v>
      </c>
      <c r="M41" s="73" t="s">
        <v>6</v>
      </c>
      <c r="N41" s="115">
        <v>11.42</v>
      </c>
      <c r="O41" s="115">
        <v>1.25</v>
      </c>
      <c r="P41" s="115">
        <f t="shared" si="0"/>
        <v>14.28</v>
      </c>
    </row>
    <row r="42" spans="1:17">
      <c r="A42" s="48"/>
      <c r="B42" s="49"/>
      <c r="C42" s="49"/>
      <c r="D42" s="49"/>
      <c r="E42" s="50" t="s">
        <v>120</v>
      </c>
      <c r="F42" s="67">
        <f>F40+F41</f>
        <v>16.61</v>
      </c>
      <c r="I42">
        <v>4</v>
      </c>
      <c r="J42" s="72" t="s">
        <v>179</v>
      </c>
      <c r="M42" s="73" t="s">
        <v>6</v>
      </c>
      <c r="N42" s="115">
        <v>65.34</v>
      </c>
      <c r="O42" s="115">
        <v>0.3</v>
      </c>
      <c r="P42" s="115">
        <f t="shared" si="0"/>
        <v>19.600000000000001</v>
      </c>
    </row>
    <row r="43" spans="1:17">
      <c r="A43" s="131"/>
      <c r="B43" s="132" t="s">
        <v>164</v>
      </c>
      <c r="C43" s="132"/>
      <c r="D43" s="132"/>
      <c r="E43" s="133"/>
      <c r="F43" s="134"/>
      <c r="I43" s="72">
        <v>5</v>
      </c>
      <c r="J43" s="72" t="s">
        <v>180</v>
      </c>
      <c r="M43" s="73" t="s">
        <v>6</v>
      </c>
      <c r="N43" s="115">
        <v>45.3</v>
      </c>
      <c r="O43" s="115">
        <v>0.5</v>
      </c>
      <c r="P43" s="115">
        <f t="shared" si="0"/>
        <v>22.65</v>
      </c>
    </row>
    <row r="44" spans="1:17">
      <c r="A44" s="68" t="str">
        <f>I$21</f>
        <v>I0576</v>
      </c>
      <c r="B44" s="69" t="str">
        <f>J$21</f>
        <v>CAMINHÃO BASCULANTE 12 M3 (CHI)</v>
      </c>
      <c r="C44" s="68" t="str">
        <f>M$21</f>
        <v>H</v>
      </c>
      <c r="D44" s="70">
        <v>0</v>
      </c>
      <c r="E44" s="124">
        <f>N$21</f>
        <v>26.992158823529412</v>
      </c>
      <c r="F44" s="125">
        <f>ROUND(E44*D44,2)</f>
        <v>0</v>
      </c>
      <c r="I44" s="72">
        <v>6</v>
      </c>
      <c r="J44" s="72" t="s">
        <v>181</v>
      </c>
      <c r="M44" s="73" t="s">
        <v>6</v>
      </c>
      <c r="N44" s="115">
        <v>2334.1799999999998</v>
      </c>
      <c r="O44" s="115">
        <v>0.01</v>
      </c>
      <c r="P44" s="115">
        <f t="shared" si="0"/>
        <v>23.34</v>
      </c>
    </row>
    <row r="45" spans="1:17" s="72" customFormat="1">
      <c r="A45" s="68" t="str">
        <f>I$22</f>
        <v>I0688</v>
      </c>
      <c r="B45" s="69" t="str">
        <f>J$22</f>
        <v>CAMINHÃO BASCULANTE 12 M3 (CHP)</v>
      </c>
      <c r="C45" s="68" t="str">
        <f>M$22</f>
        <v>H</v>
      </c>
      <c r="D45" s="70">
        <f>0.6/2</f>
        <v>0.3</v>
      </c>
      <c r="E45" s="124">
        <f>O$22</f>
        <v>130.43274705882354</v>
      </c>
      <c r="F45" s="125">
        <f>ROUND(E45*D45,2)</f>
        <v>39.130000000000003</v>
      </c>
      <c r="I45" s="72">
        <v>7</v>
      </c>
      <c r="J45" s="72" t="s">
        <v>182</v>
      </c>
      <c r="K45"/>
      <c r="L45"/>
      <c r="M45" s="73" t="s">
        <v>6</v>
      </c>
      <c r="N45" s="115">
        <v>13.53</v>
      </c>
      <c r="O45" s="115">
        <v>0.42</v>
      </c>
      <c r="P45" s="115">
        <f t="shared" si="0"/>
        <v>5.68</v>
      </c>
      <c r="Q45"/>
    </row>
    <row r="46" spans="1:17" s="72" customFormat="1">
      <c r="A46" s="68" t="str">
        <f>I$29</f>
        <v>I0653</v>
      </c>
      <c r="B46" s="69" t="str">
        <f>J$29</f>
        <v>RETRO ESCAVADEIRA DE PNEUS (CHI)</v>
      </c>
      <c r="C46" s="68" t="str">
        <f>M$29</f>
        <v>H</v>
      </c>
      <c r="D46" s="70">
        <v>0</v>
      </c>
      <c r="E46" s="124">
        <f>N$29</f>
        <v>26.115975000000002</v>
      </c>
      <c r="F46" s="125">
        <f>ROUND(D46*E46,2)</f>
        <v>0</v>
      </c>
      <c r="I46" s="72">
        <v>8</v>
      </c>
      <c r="J46" s="72" t="s">
        <v>183</v>
      </c>
      <c r="K46"/>
      <c r="L46"/>
      <c r="M46" s="73" t="s">
        <v>6</v>
      </c>
      <c r="N46" s="115">
        <v>27.62</v>
      </c>
      <c r="O46" s="115">
        <v>0.42</v>
      </c>
      <c r="P46" s="115">
        <f t="shared" si="0"/>
        <v>11.6</v>
      </c>
      <c r="Q46"/>
    </row>
    <row r="47" spans="1:17">
      <c r="A47" s="135" t="str">
        <f>I$30</f>
        <v>I0765</v>
      </c>
      <c r="B47" s="71" t="str">
        <f>J$30</f>
        <v>RETRO ESCAVADEIRA DE PNEUS (CHP)</v>
      </c>
      <c r="C47" s="135" t="str">
        <f>M$30</f>
        <v>H</v>
      </c>
      <c r="D47" s="136">
        <f>1/10</f>
        <v>0.1</v>
      </c>
      <c r="E47" s="129">
        <f>O$30</f>
        <v>86.808475000000001</v>
      </c>
      <c r="F47" s="71">
        <f>ROUND(E47*D47,2)</f>
        <v>8.68</v>
      </c>
      <c r="I47" s="72">
        <v>9</v>
      </c>
      <c r="J47" s="72" t="s">
        <v>184</v>
      </c>
      <c r="K47" s="72"/>
      <c r="L47" s="72"/>
      <c r="M47" s="73" t="s">
        <v>6</v>
      </c>
      <c r="N47" s="115">
        <v>7.8</v>
      </c>
      <c r="O47" s="115">
        <v>6</v>
      </c>
      <c r="P47" s="115">
        <f t="shared" si="0"/>
        <v>46.8</v>
      </c>
      <c r="Q47" s="72"/>
    </row>
    <row r="48" spans="1:17">
      <c r="A48" s="48"/>
      <c r="B48" s="49"/>
      <c r="C48" s="49"/>
      <c r="D48" s="49"/>
      <c r="E48" s="50" t="s">
        <v>165</v>
      </c>
      <c r="F48" s="137">
        <f>SUM(F44:F47)</f>
        <v>47.81</v>
      </c>
      <c r="I48" s="72">
        <v>10</v>
      </c>
      <c r="J48" s="72" t="s">
        <v>185</v>
      </c>
      <c r="K48" s="72"/>
      <c r="L48" s="72"/>
      <c r="M48" s="73" t="s">
        <v>6</v>
      </c>
      <c r="N48" s="115">
        <v>13.9</v>
      </c>
      <c r="O48" s="115">
        <v>12</v>
      </c>
      <c r="P48" s="115">
        <f t="shared" si="0"/>
        <v>166.8</v>
      </c>
      <c r="Q48" s="72"/>
    </row>
    <row r="49" spans="1:16">
      <c r="A49" s="131"/>
      <c r="B49" s="132" t="s">
        <v>121</v>
      </c>
      <c r="C49" s="132"/>
      <c r="D49" s="132"/>
      <c r="E49" s="133"/>
      <c r="F49" s="134"/>
      <c r="I49" s="72">
        <v>11</v>
      </c>
      <c r="J49" s="72" t="s">
        <v>186</v>
      </c>
      <c r="M49" s="73" t="s">
        <v>6</v>
      </c>
      <c r="N49" s="115">
        <v>39</v>
      </c>
      <c r="O49" s="115">
        <v>1</v>
      </c>
      <c r="P49" s="115">
        <f t="shared" si="0"/>
        <v>39</v>
      </c>
    </row>
    <row r="50" spans="1:16">
      <c r="A50" s="68"/>
      <c r="B50" s="69"/>
      <c r="C50" s="68"/>
      <c r="D50" s="70"/>
      <c r="E50" s="138"/>
      <c r="F50" s="125">
        <v>0</v>
      </c>
      <c r="I50" s="72">
        <v>12</v>
      </c>
      <c r="J50" s="72" t="s">
        <v>197</v>
      </c>
      <c r="M50" s="73" t="s">
        <v>6</v>
      </c>
      <c r="N50" s="115">
        <v>0.02</v>
      </c>
      <c r="O50" s="115">
        <f>400</f>
        <v>400</v>
      </c>
      <c r="P50" s="115">
        <f t="shared" si="0"/>
        <v>8</v>
      </c>
    </row>
    <row r="51" spans="1:16">
      <c r="A51" s="71"/>
      <c r="B51" s="71"/>
      <c r="C51" s="71"/>
      <c r="D51" s="71"/>
      <c r="E51" s="129"/>
      <c r="F51" s="139">
        <v>0</v>
      </c>
      <c r="O51" s="115"/>
    </row>
    <row r="52" spans="1:16">
      <c r="A52" s="48"/>
      <c r="B52" s="49"/>
      <c r="C52" s="49"/>
      <c r="D52" s="49"/>
      <c r="E52" s="50" t="s">
        <v>122</v>
      </c>
      <c r="F52" s="137">
        <f>F50+F51</f>
        <v>0</v>
      </c>
      <c r="O52" s="72" t="s">
        <v>16</v>
      </c>
      <c r="P52" s="115">
        <f>SUM(P39:P50)</f>
        <v>473.34000000000003</v>
      </c>
    </row>
    <row r="53" spans="1:16">
      <c r="A53" s="38"/>
      <c r="B53" s="39"/>
      <c r="C53" s="39"/>
      <c r="D53" s="39"/>
      <c r="E53" s="40" t="s">
        <v>123</v>
      </c>
      <c r="F53" s="59">
        <f>F42+F48+F52</f>
        <v>64.42</v>
      </c>
    </row>
    <row r="54" spans="1:16">
      <c r="A54" s="60"/>
      <c r="B54" s="27"/>
      <c r="C54" s="27"/>
      <c r="D54" s="27"/>
      <c r="E54" s="61" t="s">
        <v>124</v>
      </c>
      <c r="F54" s="62">
        <f>ROUND(F53*0.2691,2)</f>
        <v>17.34</v>
      </c>
      <c r="J54" s="72" t="s">
        <v>190</v>
      </c>
      <c r="P54" s="6">
        <f>ROUND(P52/220,2)</f>
        <v>2.15</v>
      </c>
    </row>
    <row r="55" spans="1:16">
      <c r="A55" s="63"/>
      <c r="B55" s="64"/>
      <c r="C55" s="64"/>
      <c r="D55" s="64"/>
      <c r="E55" s="65" t="s">
        <v>125</v>
      </c>
      <c r="F55" s="66">
        <f>F53+F54</f>
        <v>81.760000000000005</v>
      </c>
    </row>
    <row r="57" spans="1:16">
      <c r="J57" s="72" t="s">
        <v>191</v>
      </c>
    </row>
    <row r="58" spans="1:16">
      <c r="N58" s="115"/>
    </row>
    <row r="59" spans="1:16">
      <c r="A59" s="28" t="s">
        <v>111</v>
      </c>
      <c r="B59" s="75">
        <v>3</v>
      </c>
      <c r="C59" s="29"/>
      <c r="D59" s="29"/>
      <c r="E59" s="30" t="s">
        <v>112</v>
      </c>
      <c r="F59" s="31" t="s">
        <v>7</v>
      </c>
      <c r="I59">
        <v>1</v>
      </c>
      <c r="J59" s="72" t="s">
        <v>192</v>
      </c>
      <c r="M59" s="73" t="s">
        <v>196</v>
      </c>
      <c r="N59" s="115">
        <v>51</v>
      </c>
      <c r="O59" s="115">
        <v>0.67</v>
      </c>
      <c r="P59" s="115">
        <f t="shared" ref="P59:P62" si="1">ROUND(O59*N59,2)</f>
        <v>34.17</v>
      </c>
    </row>
    <row r="60" spans="1:16">
      <c r="A60" s="32" t="s">
        <v>113</v>
      </c>
      <c r="B60" s="149" t="s">
        <v>13</v>
      </c>
      <c r="C60" s="149"/>
      <c r="D60" s="149"/>
      <c r="E60" s="149"/>
      <c r="F60" s="149"/>
      <c r="I60">
        <v>2</v>
      </c>
      <c r="J60" s="72" t="s">
        <v>193</v>
      </c>
      <c r="M60" s="73" t="s">
        <v>196</v>
      </c>
      <c r="N60" s="115">
        <v>12.7</v>
      </c>
      <c r="O60" s="115">
        <f>2/2</f>
        <v>1</v>
      </c>
      <c r="P60" s="115">
        <f t="shared" si="1"/>
        <v>12.7</v>
      </c>
    </row>
    <row r="61" spans="1:16">
      <c r="A61" s="33" t="s">
        <v>162</v>
      </c>
      <c r="B61" s="34"/>
      <c r="C61" s="34"/>
      <c r="D61" s="34"/>
      <c r="E61" s="35" t="s">
        <v>161</v>
      </c>
      <c r="F61" s="36">
        <f>F15</f>
        <v>42641</v>
      </c>
      <c r="I61">
        <v>3</v>
      </c>
      <c r="J61" s="72" t="s">
        <v>194</v>
      </c>
      <c r="M61" s="73" t="s">
        <v>196</v>
      </c>
      <c r="N61" s="115">
        <v>53</v>
      </c>
      <c r="O61" s="115">
        <v>0.3</v>
      </c>
      <c r="P61" s="115">
        <f t="shared" si="1"/>
        <v>15.9</v>
      </c>
    </row>
    <row r="62" spans="1:16">
      <c r="A62" s="37" t="s">
        <v>114</v>
      </c>
      <c r="B62" s="37" t="s">
        <v>115</v>
      </c>
      <c r="C62" s="37" t="s">
        <v>116</v>
      </c>
      <c r="D62" s="37" t="s">
        <v>2</v>
      </c>
      <c r="E62" s="37" t="s">
        <v>117</v>
      </c>
      <c r="F62" s="37" t="s">
        <v>118</v>
      </c>
      <c r="I62">
        <v>4</v>
      </c>
      <c r="J62" s="72" t="s">
        <v>195</v>
      </c>
      <c r="M62" s="73" t="s">
        <v>6</v>
      </c>
      <c r="N62" s="115">
        <v>2.5</v>
      </c>
      <c r="O62" s="115">
        <v>1</v>
      </c>
      <c r="P62" s="115">
        <f t="shared" si="1"/>
        <v>2.5</v>
      </c>
    </row>
    <row r="63" spans="1:16">
      <c r="A63" s="38"/>
      <c r="B63" s="39" t="s">
        <v>119</v>
      </c>
      <c r="C63" s="39"/>
      <c r="D63" s="39"/>
      <c r="E63" s="40"/>
      <c r="F63" s="41"/>
      <c r="N63" s="115"/>
    </row>
    <row r="64" spans="1:16">
      <c r="A64" s="68" t="str">
        <f>I$10</f>
        <v>I2543</v>
      </c>
      <c r="B64" s="69" t="str">
        <f>J$10</f>
        <v>SERVENTE / GARI</v>
      </c>
      <c r="C64" s="68" t="str">
        <f>M$10</f>
        <v>H</v>
      </c>
      <c r="D64" s="70">
        <v>3</v>
      </c>
      <c r="E64" s="124">
        <f>Q$10</f>
        <v>11.5761</v>
      </c>
      <c r="F64" s="125">
        <f>ROUND(E64*D64,2)</f>
        <v>34.729999999999997</v>
      </c>
      <c r="J64" s="72"/>
      <c r="K64" s="72"/>
      <c r="L64" s="72"/>
      <c r="M64" s="72"/>
      <c r="N64" s="72"/>
      <c r="O64" s="72" t="s">
        <v>16</v>
      </c>
      <c r="P64" s="115">
        <f>SUM(P59:P62)</f>
        <v>65.27000000000001</v>
      </c>
    </row>
    <row r="65" spans="1:16">
      <c r="A65" s="126" t="str">
        <f>I$11</f>
        <v>I6815</v>
      </c>
      <c r="B65" s="127" t="str">
        <f>J$11</f>
        <v>ENCARREGADO DE TURMA / FEITOR</v>
      </c>
      <c r="C65" s="126" t="str">
        <f>M$11</f>
        <v>H</v>
      </c>
      <c r="D65" s="128">
        <f>1/5</f>
        <v>0.2</v>
      </c>
      <c r="E65" s="129">
        <f>N$11</f>
        <v>25.1341</v>
      </c>
      <c r="F65" s="130">
        <f>ROUND(E65*D65,2)</f>
        <v>5.03</v>
      </c>
      <c r="J65" s="72"/>
      <c r="K65" s="72"/>
      <c r="L65" s="72"/>
      <c r="M65" s="72"/>
      <c r="N65" s="72"/>
      <c r="O65" s="72"/>
      <c r="P65" s="72"/>
    </row>
    <row r="66" spans="1:16">
      <c r="A66" s="48"/>
      <c r="B66" s="49"/>
      <c r="C66" s="49"/>
      <c r="D66" s="49"/>
      <c r="E66" s="50" t="s">
        <v>120</v>
      </c>
      <c r="F66" s="67">
        <f>F64+F65</f>
        <v>39.76</v>
      </c>
      <c r="J66" s="72" t="s">
        <v>198</v>
      </c>
      <c r="K66" s="72"/>
      <c r="L66" s="72"/>
      <c r="M66" s="72"/>
      <c r="N66" s="72"/>
      <c r="O66" s="72"/>
      <c r="P66" s="6">
        <f>ROUND(P64/220,2)</f>
        <v>0.3</v>
      </c>
    </row>
    <row r="67" spans="1:16">
      <c r="A67" s="131"/>
      <c r="B67" s="132" t="s">
        <v>164</v>
      </c>
      <c r="C67" s="132"/>
      <c r="D67" s="132"/>
      <c r="E67" s="133"/>
      <c r="F67" s="134"/>
    </row>
    <row r="68" spans="1:16">
      <c r="A68" s="68" t="str">
        <f>I$21</f>
        <v>I0576</v>
      </c>
      <c r="B68" s="69" t="str">
        <f>J$21</f>
        <v>CAMINHÃO BASCULANTE 12 M3 (CHI)</v>
      </c>
      <c r="C68" s="68" t="str">
        <f>M$27</f>
        <v>H</v>
      </c>
      <c r="D68" s="70">
        <v>0</v>
      </c>
      <c r="E68" s="124">
        <f>N$21</f>
        <v>26.992158823529412</v>
      </c>
      <c r="F68" s="125">
        <f>ROUND(E68*D68,2)</f>
        <v>0</v>
      </c>
    </row>
    <row r="69" spans="1:16">
      <c r="A69" s="135" t="str">
        <f>I$22</f>
        <v>I0688</v>
      </c>
      <c r="B69" s="71" t="str">
        <f>J$22</f>
        <v>CAMINHÃO BASCULANTE 12 M3 (CHP)</v>
      </c>
      <c r="C69" s="135" t="str">
        <f>M$28</f>
        <v>H</v>
      </c>
      <c r="D69" s="136">
        <v>0.7</v>
      </c>
      <c r="E69" s="129">
        <f>O$22</f>
        <v>130.43274705882354</v>
      </c>
      <c r="F69" s="71">
        <f>ROUND(E69*D69,2)</f>
        <v>91.3</v>
      </c>
      <c r="J69" s="72" t="s">
        <v>208</v>
      </c>
    </row>
    <row r="70" spans="1:16">
      <c r="A70" s="48"/>
      <c r="B70" s="49"/>
      <c r="C70" s="49"/>
      <c r="D70" s="49"/>
      <c r="E70" s="50" t="s">
        <v>165</v>
      </c>
      <c r="F70" s="137">
        <f>F68+F69</f>
        <v>91.3</v>
      </c>
    </row>
    <row r="71" spans="1:16">
      <c r="A71" s="131"/>
      <c r="B71" s="132" t="s">
        <v>121</v>
      </c>
      <c r="C71" s="132"/>
      <c r="D71" s="132"/>
      <c r="E71" s="133"/>
      <c r="F71" s="134"/>
      <c r="I71" s="141" t="s">
        <v>211</v>
      </c>
      <c r="J71" s="150" t="s">
        <v>212</v>
      </c>
      <c r="K71" s="150"/>
      <c r="L71" s="150"/>
      <c r="M71" s="142" t="s">
        <v>209</v>
      </c>
      <c r="N71" s="143">
        <v>1.06</v>
      </c>
    </row>
    <row r="72" spans="1:16">
      <c r="A72" s="68"/>
      <c r="B72" s="69"/>
      <c r="C72" s="68"/>
      <c r="D72" s="70"/>
      <c r="E72" s="138"/>
      <c r="F72" s="125">
        <v>0</v>
      </c>
    </row>
    <row r="73" spans="1:16">
      <c r="A73" s="71"/>
      <c r="B73" s="71"/>
      <c r="C73" s="71"/>
      <c r="D73" s="71"/>
      <c r="E73" s="129"/>
      <c r="F73" s="139">
        <v>0</v>
      </c>
    </row>
    <row r="74" spans="1:16">
      <c r="A74" s="48"/>
      <c r="B74" s="49"/>
      <c r="C74" s="49"/>
      <c r="D74" s="49"/>
      <c r="E74" s="50" t="s">
        <v>122</v>
      </c>
      <c r="F74" s="137">
        <f>F72+F73</f>
        <v>0</v>
      </c>
    </row>
    <row r="75" spans="1:16">
      <c r="A75" s="38"/>
      <c r="B75" s="39"/>
      <c r="C75" s="39"/>
      <c r="D75" s="39"/>
      <c r="E75" s="40" t="s">
        <v>123</v>
      </c>
      <c r="F75" s="59">
        <f>F66+F70+F74</f>
        <v>131.06</v>
      </c>
    </row>
    <row r="76" spans="1:16">
      <c r="A76" s="60"/>
      <c r="B76" s="27"/>
      <c r="C76" s="27"/>
      <c r="D76" s="27"/>
      <c r="E76" s="61" t="s">
        <v>124</v>
      </c>
      <c r="F76" s="62">
        <f>ROUND(F75*0.2691,2)</f>
        <v>35.270000000000003</v>
      </c>
    </row>
    <row r="77" spans="1:16">
      <c r="A77" s="63"/>
      <c r="B77" s="64"/>
      <c r="C77" s="64"/>
      <c r="D77" s="64"/>
      <c r="E77" s="65" t="s">
        <v>125</v>
      </c>
      <c r="F77" s="66">
        <f>F75+F76</f>
        <v>166.33</v>
      </c>
    </row>
    <row r="78" spans="1:16">
      <c r="A78" s="72"/>
      <c r="B78" s="72"/>
      <c r="C78" s="72"/>
      <c r="D78" s="72"/>
      <c r="E78" s="72"/>
      <c r="F78" s="72"/>
      <c r="G78" s="72"/>
    </row>
    <row r="79" spans="1:16">
      <c r="A79" s="72"/>
      <c r="B79" s="72"/>
      <c r="C79" s="72"/>
      <c r="D79" s="72"/>
      <c r="E79" s="72"/>
      <c r="F79" s="72"/>
      <c r="G79" s="72"/>
    </row>
    <row r="80" spans="1:16">
      <c r="A80" s="72"/>
      <c r="B80" s="72"/>
      <c r="C80" s="72"/>
      <c r="D80" s="72"/>
      <c r="E80" s="72"/>
      <c r="F80" s="72"/>
      <c r="G80" s="72"/>
    </row>
    <row r="81" spans="1:7">
      <c r="A81" s="28" t="s">
        <v>111</v>
      </c>
      <c r="B81" s="75">
        <v>4</v>
      </c>
      <c r="C81" s="29"/>
      <c r="D81" s="29"/>
      <c r="E81" s="30" t="s">
        <v>112</v>
      </c>
      <c r="F81" s="31" t="s">
        <v>7</v>
      </c>
      <c r="G81" s="72"/>
    </row>
    <row r="82" spans="1:7">
      <c r="A82" s="32" t="s">
        <v>113</v>
      </c>
      <c r="B82" s="149" t="s">
        <v>14</v>
      </c>
      <c r="C82" s="149"/>
      <c r="D82" s="149"/>
      <c r="E82" s="149"/>
      <c r="F82" s="149"/>
      <c r="G82" s="72"/>
    </row>
    <row r="83" spans="1:7">
      <c r="A83" s="33" t="s">
        <v>162</v>
      </c>
      <c r="B83" s="34"/>
      <c r="C83" s="34"/>
      <c r="D83" s="34"/>
      <c r="E83" s="35" t="s">
        <v>161</v>
      </c>
      <c r="F83" s="36">
        <f>F61</f>
        <v>42641</v>
      </c>
    </row>
    <row r="84" spans="1:7">
      <c r="A84" s="37" t="s">
        <v>114</v>
      </c>
      <c r="B84" s="37" t="s">
        <v>115</v>
      </c>
      <c r="C84" s="37" t="s">
        <v>116</v>
      </c>
      <c r="D84" s="37" t="s">
        <v>2</v>
      </c>
      <c r="E84" s="37" t="s">
        <v>117</v>
      </c>
      <c r="F84" s="37" t="s">
        <v>118</v>
      </c>
    </row>
    <row r="85" spans="1:7">
      <c r="A85" s="38"/>
      <c r="B85" s="39" t="s">
        <v>119</v>
      </c>
      <c r="C85" s="39"/>
      <c r="D85" s="39"/>
      <c r="E85" s="40"/>
      <c r="F85" s="41"/>
    </row>
    <row r="86" spans="1:7">
      <c r="A86" s="68" t="str">
        <f>I$10</f>
        <v>I2543</v>
      </c>
      <c r="B86" s="69" t="str">
        <f>J$10</f>
        <v>SERVENTE / GARI</v>
      </c>
      <c r="C86" s="68" t="str">
        <f>M$10</f>
        <v>H</v>
      </c>
      <c r="D86" s="70">
        <v>1</v>
      </c>
      <c r="E86" s="124">
        <f>Q$10</f>
        <v>11.5761</v>
      </c>
      <c r="F86" s="125">
        <f>ROUND(E86*D86,2)</f>
        <v>11.58</v>
      </c>
    </row>
    <row r="87" spans="1:7">
      <c r="A87" s="126" t="str">
        <f>I$11</f>
        <v>I6815</v>
      </c>
      <c r="B87" s="127" t="str">
        <f>J$11</f>
        <v>ENCARREGADO DE TURMA / FEITOR</v>
      </c>
      <c r="C87" s="126" t="str">
        <f>M$11</f>
        <v>H</v>
      </c>
      <c r="D87" s="128">
        <f>D86/5</f>
        <v>0.2</v>
      </c>
      <c r="E87" s="129">
        <f>N$11</f>
        <v>25.1341</v>
      </c>
      <c r="F87" s="130">
        <f>ROUND(E87*D87,2)</f>
        <v>5.03</v>
      </c>
    </row>
    <row r="88" spans="1:7">
      <c r="A88" s="48"/>
      <c r="B88" s="49"/>
      <c r="C88" s="49"/>
      <c r="D88" s="49"/>
      <c r="E88" s="50" t="s">
        <v>120</v>
      </c>
      <c r="F88" s="67">
        <f>F86+F87</f>
        <v>16.61</v>
      </c>
    </row>
    <row r="89" spans="1:7">
      <c r="A89" s="131"/>
      <c r="B89" s="132" t="s">
        <v>164</v>
      </c>
      <c r="C89" s="132"/>
      <c r="D89" s="132"/>
      <c r="E89" s="133"/>
      <c r="F89" s="134"/>
    </row>
    <row r="90" spans="1:7">
      <c r="A90" s="68" t="str">
        <f>I$21</f>
        <v>I0576</v>
      </c>
      <c r="B90" s="69" t="str">
        <f>J$21</f>
        <v>CAMINHÃO BASCULANTE 12 M3 (CHI)</v>
      </c>
      <c r="C90" s="68" t="str">
        <f>M$21</f>
        <v>H</v>
      </c>
      <c r="D90" s="70">
        <v>0</v>
      </c>
      <c r="E90" s="124">
        <f>N$21</f>
        <v>26.992158823529412</v>
      </c>
      <c r="F90" s="125">
        <f>ROUND(E90*D90,2)</f>
        <v>0</v>
      </c>
    </row>
    <row r="91" spans="1:7">
      <c r="A91" s="68" t="str">
        <f>I$22</f>
        <v>I0688</v>
      </c>
      <c r="B91" s="69" t="str">
        <f>J$22</f>
        <v>CAMINHÃO BASCULANTE 12 M3 (CHP)</v>
      </c>
      <c r="C91" s="68" t="str">
        <f>M$22</f>
        <v>H</v>
      </c>
      <c r="D91" s="70">
        <f>0.6/2.5</f>
        <v>0.24</v>
      </c>
      <c r="E91" s="124">
        <f>O$22</f>
        <v>130.43274705882354</v>
      </c>
      <c r="F91" s="125">
        <f>ROUND(E91*D91,2)</f>
        <v>31.3</v>
      </c>
    </row>
    <row r="92" spans="1:7">
      <c r="A92" s="68" t="str">
        <f>I$31</f>
        <v>I0594</v>
      </c>
      <c r="B92" s="69" t="str">
        <f>J$31</f>
        <v>CARREGADEIRA DE PNEUS HP 111 (CHI)</v>
      </c>
      <c r="C92" s="68" t="str">
        <f>M$31</f>
        <v>H</v>
      </c>
      <c r="D92" s="70">
        <v>0</v>
      </c>
      <c r="E92" s="124">
        <f>N$31</f>
        <v>34.831092857142863</v>
      </c>
      <c r="F92" s="125">
        <f>ROUND(D92*E92,2)</f>
        <v>0</v>
      </c>
    </row>
    <row r="93" spans="1:7">
      <c r="A93" s="135" t="str">
        <f>I$32</f>
        <v>I0708</v>
      </c>
      <c r="B93" s="71" t="str">
        <f>J$32</f>
        <v>CARREGADEIRA DE PNEUS HP 111 (CHP)</v>
      </c>
      <c r="C93" s="135" t="str">
        <f>M$32</f>
        <v>H</v>
      </c>
      <c r="D93" s="136">
        <f>0.5/10</f>
        <v>0.05</v>
      </c>
      <c r="E93" s="129">
        <f>O$32</f>
        <v>145.08180714285714</v>
      </c>
      <c r="F93" s="71">
        <f>ROUND(E93*D93,2)</f>
        <v>7.25</v>
      </c>
    </row>
    <row r="94" spans="1:7">
      <c r="A94" s="48"/>
      <c r="B94" s="49"/>
      <c r="C94" s="49"/>
      <c r="D94" s="49"/>
      <c r="E94" s="50" t="s">
        <v>165</v>
      </c>
      <c r="F94" s="137">
        <f>SUM(F90:F93)</f>
        <v>38.549999999999997</v>
      </c>
    </row>
    <row r="95" spans="1:7">
      <c r="A95" s="131"/>
      <c r="B95" s="132" t="s">
        <v>121</v>
      </c>
      <c r="C95" s="132"/>
      <c r="D95" s="132"/>
      <c r="E95" s="133"/>
      <c r="F95" s="134"/>
    </row>
    <row r="96" spans="1:7">
      <c r="A96" s="68"/>
      <c r="B96" s="69"/>
      <c r="C96" s="68"/>
      <c r="D96" s="70"/>
      <c r="E96" s="138"/>
      <c r="F96" s="125">
        <v>0</v>
      </c>
    </row>
    <row r="97" spans="1:6">
      <c r="A97" s="71"/>
      <c r="B97" s="71"/>
      <c r="C97" s="71"/>
      <c r="D97" s="71"/>
      <c r="E97" s="129"/>
      <c r="F97" s="139">
        <v>0</v>
      </c>
    </row>
    <row r="98" spans="1:6">
      <c r="A98" s="48"/>
      <c r="B98" s="49"/>
      <c r="C98" s="49"/>
      <c r="D98" s="49"/>
      <c r="E98" s="50" t="s">
        <v>122</v>
      </c>
      <c r="F98" s="137">
        <f>F96+F97</f>
        <v>0</v>
      </c>
    </row>
    <row r="99" spans="1:6">
      <c r="A99" s="38"/>
      <c r="B99" s="39"/>
      <c r="C99" s="39"/>
      <c r="D99" s="39"/>
      <c r="E99" s="40" t="s">
        <v>123</v>
      </c>
      <c r="F99" s="59">
        <f>F88+F94+F98</f>
        <v>55.16</v>
      </c>
    </row>
    <row r="100" spans="1:6">
      <c r="A100" s="60"/>
      <c r="B100" s="27"/>
      <c r="C100" s="27"/>
      <c r="D100" s="27"/>
      <c r="E100" s="61" t="s">
        <v>124</v>
      </c>
      <c r="F100" s="62">
        <f>ROUND(F99*0.2691,2)</f>
        <v>14.84</v>
      </c>
    </row>
    <row r="101" spans="1:6">
      <c r="A101" s="63"/>
      <c r="B101" s="64"/>
      <c r="C101" s="64"/>
      <c r="D101" s="64"/>
      <c r="E101" s="65" t="s">
        <v>125</v>
      </c>
      <c r="F101" s="66">
        <f>F99+F100</f>
        <v>70</v>
      </c>
    </row>
    <row r="105" spans="1:6">
      <c r="A105" s="28" t="s">
        <v>111</v>
      </c>
      <c r="B105" s="75">
        <v>5</v>
      </c>
      <c r="C105" s="29"/>
      <c r="D105" s="29"/>
      <c r="E105" s="30" t="s">
        <v>112</v>
      </c>
      <c r="F105" s="31" t="s">
        <v>7</v>
      </c>
    </row>
    <row r="106" spans="1:6">
      <c r="A106" s="32" t="s">
        <v>113</v>
      </c>
      <c r="B106" s="149" t="s">
        <v>9</v>
      </c>
      <c r="C106" s="149"/>
      <c r="D106" s="149"/>
      <c r="E106" s="149"/>
      <c r="F106" s="149"/>
    </row>
    <row r="107" spans="1:6">
      <c r="A107" s="33" t="s">
        <v>162</v>
      </c>
      <c r="B107" s="34"/>
      <c r="C107" s="34"/>
      <c r="D107" s="34"/>
      <c r="E107" s="35" t="s">
        <v>161</v>
      </c>
      <c r="F107" s="36">
        <f>F61</f>
        <v>42641</v>
      </c>
    </row>
    <row r="108" spans="1:6">
      <c r="A108" s="37" t="s">
        <v>114</v>
      </c>
      <c r="B108" s="37" t="s">
        <v>115</v>
      </c>
      <c r="C108" s="37" t="s">
        <v>116</v>
      </c>
      <c r="D108" s="37" t="s">
        <v>2</v>
      </c>
      <c r="E108" s="37" t="s">
        <v>117</v>
      </c>
      <c r="F108" s="37" t="s">
        <v>118</v>
      </c>
    </row>
    <row r="109" spans="1:6">
      <c r="A109" s="38"/>
      <c r="B109" s="39" t="s">
        <v>119</v>
      </c>
      <c r="C109" s="39"/>
      <c r="D109" s="39"/>
      <c r="E109" s="40"/>
      <c r="F109" s="41"/>
    </row>
    <row r="110" spans="1:6">
      <c r="A110" s="68" t="str">
        <f>I$10</f>
        <v>I2543</v>
      </c>
      <c r="B110" s="69" t="str">
        <f>J$10</f>
        <v>SERVENTE / GARI</v>
      </c>
      <c r="C110" s="68" t="str">
        <f>M$10</f>
        <v>H</v>
      </c>
      <c r="D110" s="70">
        <f>D115*3</f>
        <v>6</v>
      </c>
      <c r="E110" s="124">
        <f>Q$10</f>
        <v>11.5761</v>
      </c>
      <c r="F110" s="125">
        <f>ROUND(E110*D110,2)</f>
        <v>69.459999999999994</v>
      </c>
    </row>
    <row r="111" spans="1:6">
      <c r="A111" s="126" t="str">
        <f>I$11</f>
        <v>I6815</v>
      </c>
      <c r="B111" s="127" t="str">
        <f>J$11</f>
        <v>ENCARREGADO DE TURMA / FEITOR</v>
      </c>
      <c r="C111" s="126" t="str">
        <f>M$11</f>
        <v>H</v>
      </c>
      <c r="D111" s="128">
        <f>D110/6</f>
        <v>1</v>
      </c>
      <c r="E111" s="129">
        <f>N$11</f>
        <v>25.1341</v>
      </c>
      <c r="F111" s="130">
        <f>ROUND(E111*D111,2)</f>
        <v>25.13</v>
      </c>
    </row>
    <row r="112" spans="1:6">
      <c r="A112" s="48"/>
      <c r="B112" s="49"/>
      <c r="C112" s="49"/>
      <c r="D112" s="49"/>
      <c r="E112" s="50" t="s">
        <v>120</v>
      </c>
      <c r="F112" s="67">
        <f>F110+F111</f>
        <v>94.589999999999989</v>
      </c>
    </row>
    <row r="113" spans="1:6">
      <c r="A113" s="131"/>
      <c r="B113" s="132" t="s">
        <v>164</v>
      </c>
      <c r="C113" s="132"/>
      <c r="D113" s="132"/>
      <c r="E113" s="133"/>
      <c r="F113" s="134"/>
    </row>
    <row r="114" spans="1:6">
      <c r="A114" s="68" t="str">
        <f>I$21</f>
        <v>I0576</v>
      </c>
      <c r="B114" s="69" t="str">
        <f>J$21</f>
        <v>CAMINHÃO BASCULANTE 12 M3 (CHI)</v>
      </c>
      <c r="C114" s="68" t="str">
        <f>M$27</f>
        <v>H</v>
      </c>
      <c r="D114" s="70">
        <v>0</v>
      </c>
      <c r="E114" s="124">
        <f>N$21</f>
        <v>26.992158823529412</v>
      </c>
      <c r="F114" s="125">
        <f>ROUND(E114*D114,2)</f>
        <v>0</v>
      </c>
    </row>
    <row r="115" spans="1:6">
      <c r="A115" s="135" t="str">
        <f>I$22</f>
        <v>I0688</v>
      </c>
      <c r="B115" s="71" t="str">
        <f>J$22</f>
        <v>CAMINHÃO BASCULANTE 12 M3 (CHP)</v>
      </c>
      <c r="C115" s="135" t="str">
        <f>M$28</f>
        <v>H</v>
      </c>
      <c r="D115" s="136">
        <v>2</v>
      </c>
      <c r="E115" s="129">
        <f>O$22</f>
        <v>130.43274705882354</v>
      </c>
      <c r="F115" s="71">
        <f>ROUND(E115*D115,2)</f>
        <v>260.87</v>
      </c>
    </row>
    <row r="116" spans="1:6">
      <c r="A116" s="48"/>
      <c r="B116" s="49"/>
      <c r="C116" s="49"/>
      <c r="D116" s="49"/>
      <c r="E116" s="50" t="s">
        <v>165</v>
      </c>
      <c r="F116" s="137">
        <f>F114+F115</f>
        <v>260.87</v>
      </c>
    </row>
    <row r="117" spans="1:6">
      <c r="A117" s="131"/>
      <c r="B117" s="132" t="s">
        <v>121</v>
      </c>
      <c r="C117" s="132"/>
      <c r="D117" s="132"/>
      <c r="E117" s="133"/>
      <c r="F117" s="134"/>
    </row>
    <row r="118" spans="1:6">
      <c r="A118" s="68"/>
      <c r="B118" s="69"/>
      <c r="C118" s="68"/>
      <c r="D118" s="70"/>
      <c r="E118" s="138"/>
      <c r="F118" s="125">
        <v>0</v>
      </c>
    </row>
    <row r="119" spans="1:6">
      <c r="A119" s="71"/>
      <c r="B119" s="71"/>
      <c r="C119" s="71"/>
      <c r="D119" s="71"/>
      <c r="E119" s="129"/>
      <c r="F119" s="139">
        <v>0</v>
      </c>
    </row>
    <row r="120" spans="1:6">
      <c r="A120" s="48"/>
      <c r="B120" s="49"/>
      <c r="C120" s="49"/>
      <c r="D120" s="49"/>
      <c r="E120" s="50" t="s">
        <v>122</v>
      </c>
      <c r="F120" s="137">
        <f>F118+F119</f>
        <v>0</v>
      </c>
    </row>
    <row r="121" spans="1:6">
      <c r="A121" s="38"/>
      <c r="B121" s="39"/>
      <c r="C121" s="39"/>
      <c r="D121" s="39"/>
      <c r="E121" s="40" t="s">
        <v>123</v>
      </c>
      <c r="F121" s="59">
        <f>F112+F116+F120</f>
        <v>355.46</v>
      </c>
    </row>
    <row r="122" spans="1:6">
      <c r="A122" s="60"/>
      <c r="B122" s="27"/>
      <c r="C122" s="27"/>
      <c r="D122" s="27"/>
      <c r="E122" s="61" t="s">
        <v>124</v>
      </c>
      <c r="F122" s="62">
        <f>ROUND(F121*0.2691,2)</f>
        <v>95.65</v>
      </c>
    </row>
    <row r="123" spans="1:6">
      <c r="A123" s="63"/>
      <c r="B123" s="64"/>
      <c r="C123" s="64"/>
      <c r="D123" s="64"/>
      <c r="E123" s="65" t="s">
        <v>125</v>
      </c>
      <c r="F123" s="66">
        <f>F121+F122</f>
        <v>451.11</v>
      </c>
    </row>
    <row r="127" spans="1:6">
      <c r="A127" s="28" t="s">
        <v>111</v>
      </c>
      <c r="B127" s="75">
        <v>6</v>
      </c>
      <c r="C127" s="29"/>
      <c r="D127" s="29"/>
      <c r="E127" s="30" t="s">
        <v>112</v>
      </c>
      <c r="F127" s="31" t="s">
        <v>7</v>
      </c>
    </row>
    <row r="128" spans="1:6">
      <c r="A128" s="32" t="s">
        <v>113</v>
      </c>
      <c r="B128" s="149" t="s">
        <v>51</v>
      </c>
      <c r="C128" s="149"/>
      <c r="D128" s="149"/>
      <c r="E128" s="149"/>
      <c r="F128" s="149"/>
    </row>
    <row r="129" spans="1:6">
      <c r="A129" s="33" t="s">
        <v>162</v>
      </c>
      <c r="B129" s="34"/>
      <c r="C129" s="34"/>
      <c r="D129" s="34"/>
      <c r="E129" s="35" t="s">
        <v>161</v>
      </c>
      <c r="F129" s="36">
        <f>F83</f>
        <v>42641</v>
      </c>
    </row>
    <row r="130" spans="1:6">
      <c r="A130" s="37" t="s">
        <v>114</v>
      </c>
      <c r="B130" s="37" t="s">
        <v>115</v>
      </c>
      <c r="C130" s="37" t="s">
        <v>116</v>
      </c>
      <c r="D130" s="37" t="s">
        <v>2</v>
      </c>
      <c r="E130" s="37" t="s">
        <v>117</v>
      </c>
      <c r="F130" s="37" t="s">
        <v>118</v>
      </c>
    </row>
    <row r="131" spans="1:6">
      <c r="A131" s="38"/>
      <c r="B131" s="39" t="s">
        <v>119</v>
      </c>
      <c r="C131" s="39"/>
      <c r="D131" s="39"/>
      <c r="E131" s="40"/>
      <c r="F131" s="41"/>
    </row>
    <row r="132" spans="1:6">
      <c r="A132" s="68" t="str">
        <f>I$10</f>
        <v>I2543</v>
      </c>
      <c r="B132" s="69" t="str">
        <f>J$10</f>
        <v>SERVENTE / GARI</v>
      </c>
      <c r="C132" s="68" t="str">
        <f>M$10</f>
        <v>H</v>
      </c>
      <c r="D132" s="70">
        <v>1.3</v>
      </c>
      <c r="E132" s="124">
        <f>Q$10</f>
        <v>11.5761</v>
      </c>
      <c r="F132" s="125">
        <f>ROUND(E132*D132,2)</f>
        <v>15.05</v>
      </c>
    </row>
    <row r="133" spans="1:6">
      <c r="A133" s="126" t="str">
        <f>I$11</f>
        <v>I6815</v>
      </c>
      <c r="B133" s="127" t="str">
        <f>J$11</f>
        <v>ENCARREGADO DE TURMA / FEITOR</v>
      </c>
      <c r="C133" s="126" t="str">
        <f>M$11</f>
        <v>H</v>
      </c>
      <c r="D133" s="128">
        <f>D132/10</f>
        <v>0.13</v>
      </c>
      <c r="E133" s="129">
        <f>N$11</f>
        <v>25.1341</v>
      </c>
      <c r="F133" s="130">
        <f>ROUND(E133*D133,2)</f>
        <v>3.27</v>
      </c>
    </row>
    <row r="134" spans="1:6">
      <c r="A134" s="48"/>
      <c r="B134" s="49"/>
      <c r="C134" s="49"/>
      <c r="D134" s="49"/>
      <c r="E134" s="50" t="s">
        <v>120</v>
      </c>
      <c r="F134" s="67">
        <f>F132+F133</f>
        <v>18.32</v>
      </c>
    </row>
    <row r="135" spans="1:6">
      <c r="A135" s="131"/>
      <c r="B135" s="132" t="s">
        <v>164</v>
      </c>
      <c r="C135" s="132"/>
      <c r="D135" s="132"/>
      <c r="E135" s="133"/>
      <c r="F135" s="134"/>
    </row>
    <row r="136" spans="1:6" ht="22.5">
      <c r="A136" s="68" t="str">
        <f>I$33</f>
        <v>I0584</v>
      </c>
      <c r="B136" s="69" t="str">
        <f>J$33</f>
        <v xml:space="preserve">CAMINHÃO COMERC. EQUIP. C/GUINDASTE (CHI) TIPO ROLT-LON </v>
      </c>
      <c r="C136" s="68" t="str">
        <f>M$33</f>
        <v>H</v>
      </c>
      <c r="D136" s="70">
        <v>0</v>
      </c>
      <c r="E136" s="124">
        <f>N$33</f>
        <v>26.742547999999999</v>
      </c>
      <c r="F136" s="125">
        <f>ROUND(E136*D136,2)</f>
        <v>0</v>
      </c>
    </row>
    <row r="137" spans="1:6">
      <c r="A137" s="135" t="str">
        <f>I$34</f>
        <v>I0705</v>
      </c>
      <c r="B137" s="71" t="str">
        <f>J$34</f>
        <v xml:space="preserve">CAMINHÃO COMERC. EQUIP. C/GUINDASTE (CHP) TIPO ROLT-LON </v>
      </c>
      <c r="C137" s="135" t="str">
        <f>M$34</f>
        <v>H</v>
      </c>
      <c r="D137" s="136">
        <v>1.3</v>
      </c>
      <c r="E137" s="129">
        <f>O$34</f>
        <v>105.96481466666667</v>
      </c>
      <c r="F137" s="71">
        <f>ROUND(E137*D137,2)</f>
        <v>137.75</v>
      </c>
    </row>
    <row r="138" spans="1:6">
      <c r="A138" s="48"/>
      <c r="B138" s="49"/>
      <c r="C138" s="49"/>
      <c r="D138" s="49"/>
      <c r="E138" s="50" t="s">
        <v>165</v>
      </c>
      <c r="F138" s="137">
        <f>F136+F137</f>
        <v>137.75</v>
      </c>
    </row>
    <row r="139" spans="1:6">
      <c r="A139" s="131"/>
      <c r="B139" s="132" t="s">
        <v>121</v>
      </c>
      <c r="C139" s="132"/>
      <c r="D139" s="132"/>
      <c r="E139" s="133"/>
      <c r="F139" s="134"/>
    </row>
    <row r="140" spans="1:6">
      <c r="A140" s="68"/>
      <c r="B140" s="69"/>
      <c r="C140" s="68"/>
      <c r="D140" s="70"/>
      <c r="E140" s="138"/>
      <c r="F140" s="125">
        <v>0</v>
      </c>
    </row>
    <row r="141" spans="1:6">
      <c r="A141" s="71"/>
      <c r="B141" s="71"/>
      <c r="C141" s="71"/>
      <c r="D141" s="71"/>
      <c r="E141" s="129"/>
      <c r="F141" s="139">
        <v>0</v>
      </c>
    </row>
    <row r="142" spans="1:6">
      <c r="A142" s="48"/>
      <c r="B142" s="49"/>
      <c r="C142" s="49"/>
      <c r="D142" s="49"/>
      <c r="E142" s="50" t="s">
        <v>122</v>
      </c>
      <c r="F142" s="137">
        <f>F140+F141</f>
        <v>0</v>
      </c>
    </row>
    <row r="143" spans="1:6">
      <c r="A143" s="38"/>
      <c r="B143" s="39"/>
      <c r="C143" s="39"/>
      <c r="D143" s="39"/>
      <c r="E143" s="40" t="s">
        <v>123</v>
      </c>
      <c r="F143" s="59">
        <f>F134+F138+F142</f>
        <v>156.07</v>
      </c>
    </row>
    <row r="144" spans="1:6">
      <c r="A144" s="60"/>
      <c r="B144" s="27"/>
      <c r="C144" s="27"/>
      <c r="D144" s="27"/>
      <c r="E144" s="61" t="s">
        <v>124</v>
      </c>
      <c r="F144" s="62">
        <f>ROUND(F143*0.2691,2)</f>
        <v>42</v>
      </c>
    </row>
    <row r="145" spans="1:6">
      <c r="A145" s="63"/>
      <c r="B145" s="64"/>
      <c r="C145" s="64"/>
      <c r="D145" s="64"/>
      <c r="E145" s="65" t="s">
        <v>125</v>
      </c>
      <c r="F145" s="66">
        <f>F143+F144</f>
        <v>198.07</v>
      </c>
    </row>
    <row r="149" spans="1:6">
      <c r="A149" s="28" t="s">
        <v>111</v>
      </c>
      <c r="B149" s="75">
        <v>7</v>
      </c>
      <c r="C149" s="29"/>
      <c r="D149" s="29"/>
      <c r="E149" s="30" t="s">
        <v>112</v>
      </c>
      <c r="F149" s="31" t="s">
        <v>8</v>
      </c>
    </row>
    <row r="150" spans="1:6">
      <c r="A150" s="32" t="s">
        <v>113</v>
      </c>
      <c r="B150" s="149" t="s">
        <v>5</v>
      </c>
      <c r="C150" s="149"/>
      <c r="D150" s="149"/>
      <c r="E150" s="149"/>
      <c r="F150" s="149"/>
    </row>
    <row r="151" spans="1:6">
      <c r="A151" s="33" t="s">
        <v>162</v>
      </c>
      <c r="B151" s="34"/>
      <c r="C151" s="34"/>
      <c r="D151" s="34"/>
      <c r="E151" s="35" t="s">
        <v>161</v>
      </c>
      <c r="F151" s="36" t="str">
        <f>F105</f>
        <v>Ton</v>
      </c>
    </row>
    <row r="152" spans="1:6">
      <c r="A152" s="37" t="s">
        <v>114</v>
      </c>
      <c r="B152" s="37" t="s">
        <v>115</v>
      </c>
      <c r="C152" s="37" t="s">
        <v>116</v>
      </c>
      <c r="D152" s="37" t="s">
        <v>2</v>
      </c>
      <c r="E152" s="37" t="s">
        <v>117</v>
      </c>
      <c r="F152" s="37" t="s">
        <v>118</v>
      </c>
    </row>
    <row r="153" spans="1:6">
      <c r="A153" s="38"/>
      <c r="B153" s="39" t="s">
        <v>119</v>
      </c>
      <c r="C153" s="39"/>
      <c r="D153" s="39"/>
      <c r="E153" s="40"/>
      <c r="F153" s="41"/>
    </row>
    <row r="154" spans="1:6">
      <c r="A154" s="68" t="str">
        <f>I$10</f>
        <v>I2543</v>
      </c>
      <c r="B154" s="69" t="str">
        <f>J$10</f>
        <v>SERVENTE / GARI</v>
      </c>
      <c r="C154" s="68" t="str">
        <f>M$10</f>
        <v>H</v>
      </c>
      <c r="D154" s="70">
        <v>0.1</v>
      </c>
      <c r="E154" s="124">
        <f>Q$10</f>
        <v>11.5761</v>
      </c>
      <c r="F154" s="125">
        <f>ROUND(E154*D154,2)</f>
        <v>1.1599999999999999</v>
      </c>
    </row>
    <row r="155" spans="1:6">
      <c r="A155" s="126" t="str">
        <f>I$11</f>
        <v>I6815</v>
      </c>
      <c r="B155" s="127" t="str">
        <f>J$11</f>
        <v>ENCARREGADO DE TURMA / FEITOR</v>
      </c>
      <c r="C155" s="126" t="str">
        <f>M$11</f>
        <v>H</v>
      </c>
      <c r="D155" s="128">
        <f>D154/10</f>
        <v>0.01</v>
      </c>
      <c r="E155" s="129">
        <f>N$11</f>
        <v>25.1341</v>
      </c>
      <c r="F155" s="130">
        <f>ROUND(E155*D155,2)</f>
        <v>0.25</v>
      </c>
    </row>
    <row r="156" spans="1:6">
      <c r="A156" s="48"/>
      <c r="B156" s="49"/>
      <c r="C156" s="49"/>
      <c r="D156" s="49"/>
      <c r="E156" s="50" t="s">
        <v>120</v>
      </c>
      <c r="F156" s="67">
        <f>F154+F155</f>
        <v>1.41</v>
      </c>
    </row>
    <row r="157" spans="1:6">
      <c r="A157" s="131"/>
      <c r="B157" s="132" t="s">
        <v>164</v>
      </c>
      <c r="C157" s="132"/>
      <c r="D157" s="132"/>
      <c r="E157" s="133"/>
      <c r="F157" s="134"/>
    </row>
    <row r="158" spans="1:6">
      <c r="A158" s="68" t="str">
        <f>I$19</f>
        <v>I0673</v>
      </c>
      <c r="B158" s="69" t="str">
        <f>J$19</f>
        <v>VEÍCULO UTILITÁRIO KOMBI (CHI)</v>
      </c>
      <c r="C158" s="68" t="str">
        <f>M$33</f>
        <v>H</v>
      </c>
      <c r="D158" s="70">
        <v>0</v>
      </c>
      <c r="E158" s="124">
        <f>N$19</f>
        <v>16.749965</v>
      </c>
      <c r="F158" s="125">
        <f>ROUND(E158*D158,2)</f>
        <v>0</v>
      </c>
    </row>
    <row r="159" spans="1:6">
      <c r="A159" s="135" t="str">
        <f>I$20</f>
        <v>I0786</v>
      </c>
      <c r="B159" s="71" t="str">
        <f>J$20</f>
        <v>VEÍCULO UTILITÁRIO KOMBI (CHP)</v>
      </c>
      <c r="C159" s="135" t="str">
        <f>M$34</f>
        <v>H</v>
      </c>
      <c r="D159" s="136">
        <v>0.1</v>
      </c>
      <c r="E159" s="129">
        <f>O$20</f>
        <v>62.437831666666668</v>
      </c>
      <c r="F159" s="71">
        <f>ROUND(E159*D159,2)</f>
        <v>6.24</v>
      </c>
    </row>
    <row r="160" spans="1:6">
      <c r="A160" s="48"/>
      <c r="B160" s="49"/>
      <c r="C160" s="49"/>
      <c r="D160" s="49"/>
      <c r="E160" s="50" t="s">
        <v>165</v>
      </c>
      <c r="F160" s="137">
        <f>F158+F159</f>
        <v>6.24</v>
      </c>
    </row>
    <row r="161" spans="1:6">
      <c r="A161" s="131"/>
      <c r="B161" s="132" t="s">
        <v>121</v>
      </c>
      <c r="C161" s="132"/>
      <c r="D161" s="132"/>
      <c r="E161" s="133"/>
      <c r="F161" s="134"/>
    </row>
    <row r="162" spans="1:6">
      <c r="A162" s="68"/>
      <c r="B162" s="69"/>
      <c r="C162" s="68"/>
      <c r="D162" s="70"/>
      <c r="E162" s="138"/>
      <c r="F162" s="125">
        <v>0</v>
      </c>
    </row>
    <row r="163" spans="1:6">
      <c r="A163" s="71"/>
      <c r="B163" s="71"/>
      <c r="C163" s="71"/>
      <c r="D163" s="71"/>
      <c r="E163" s="129"/>
      <c r="F163" s="139">
        <v>0</v>
      </c>
    </row>
    <row r="164" spans="1:6">
      <c r="A164" s="48"/>
      <c r="B164" s="49"/>
      <c r="C164" s="49"/>
      <c r="D164" s="49"/>
      <c r="E164" s="50" t="s">
        <v>122</v>
      </c>
      <c r="F164" s="137">
        <f>F162+F163</f>
        <v>0</v>
      </c>
    </row>
    <row r="165" spans="1:6">
      <c r="A165" s="38"/>
      <c r="B165" s="39"/>
      <c r="C165" s="39"/>
      <c r="D165" s="39"/>
      <c r="E165" s="40" t="s">
        <v>123</v>
      </c>
      <c r="F165" s="59">
        <f>F156+F160+F164</f>
        <v>7.65</v>
      </c>
    </row>
    <row r="166" spans="1:6">
      <c r="A166" s="60"/>
      <c r="B166" s="27"/>
      <c r="C166" s="27"/>
      <c r="D166" s="27"/>
      <c r="E166" s="61" t="s">
        <v>124</v>
      </c>
      <c r="F166" s="62">
        <f>ROUND(F165*0.2691,2)</f>
        <v>2.06</v>
      </c>
    </row>
    <row r="167" spans="1:6">
      <c r="A167" s="63"/>
      <c r="B167" s="64"/>
      <c r="C167" s="64"/>
      <c r="D167" s="64"/>
      <c r="E167" s="65" t="s">
        <v>125</v>
      </c>
      <c r="F167" s="66">
        <f>F165+F166</f>
        <v>9.7100000000000009</v>
      </c>
    </row>
    <row r="171" spans="1:6">
      <c r="A171" s="28" t="s">
        <v>111</v>
      </c>
      <c r="B171" s="75">
        <v>8</v>
      </c>
      <c r="C171" s="29"/>
      <c r="D171" s="29"/>
      <c r="E171" s="30" t="s">
        <v>112</v>
      </c>
      <c r="F171" s="31" t="s">
        <v>206</v>
      </c>
    </row>
    <row r="172" spans="1:6">
      <c r="A172" s="32" t="s">
        <v>113</v>
      </c>
      <c r="B172" s="149" t="s">
        <v>205</v>
      </c>
      <c r="C172" s="149"/>
      <c r="D172" s="149"/>
      <c r="E172" s="149"/>
      <c r="F172" s="149"/>
    </row>
    <row r="173" spans="1:6">
      <c r="A173" s="33" t="s">
        <v>162</v>
      </c>
      <c r="B173" s="34"/>
      <c r="C173" s="34"/>
      <c r="D173" s="34"/>
      <c r="E173" s="35" t="s">
        <v>161</v>
      </c>
      <c r="F173" s="36" t="str">
        <f>F127</f>
        <v>Ton</v>
      </c>
    </row>
    <row r="174" spans="1:6">
      <c r="A174" s="37" t="s">
        <v>114</v>
      </c>
      <c r="B174" s="37" t="s">
        <v>115</v>
      </c>
      <c r="C174" s="37" t="s">
        <v>116</v>
      </c>
      <c r="D174" s="37" t="s">
        <v>2</v>
      </c>
      <c r="E174" s="37" t="s">
        <v>117</v>
      </c>
      <c r="F174" s="37" t="s">
        <v>118</v>
      </c>
    </row>
    <row r="175" spans="1:6">
      <c r="A175" s="38"/>
      <c r="B175" s="39" t="s">
        <v>119</v>
      </c>
      <c r="C175" s="39"/>
      <c r="D175" s="39"/>
      <c r="E175" s="40"/>
      <c r="F175" s="41"/>
    </row>
    <row r="176" spans="1:6">
      <c r="A176" s="68" t="str">
        <f>I$10</f>
        <v>I2543</v>
      </c>
      <c r="B176" s="69" t="str">
        <f>J$10</f>
        <v>SERVENTE / GARI</v>
      </c>
      <c r="C176" s="68" t="str">
        <f>M$10</f>
        <v>H</v>
      </c>
      <c r="D176" s="70">
        <f>10/2000</f>
        <v>5.0000000000000001E-3</v>
      </c>
      <c r="E176" s="124">
        <f>Q$10</f>
        <v>11.5761</v>
      </c>
      <c r="F176" s="125">
        <f>ROUND(E176*D176,2)</f>
        <v>0.06</v>
      </c>
    </row>
    <row r="177" spans="1:6">
      <c r="A177" s="126" t="str">
        <f>I$11</f>
        <v>I6815</v>
      </c>
      <c r="B177" s="127" t="str">
        <f>J$11</f>
        <v>ENCARREGADO DE TURMA / FEITOR</v>
      </c>
      <c r="C177" s="126" t="str">
        <f>M$11</f>
        <v>H</v>
      </c>
      <c r="D177" s="128">
        <f>D176/10</f>
        <v>5.0000000000000001E-4</v>
      </c>
      <c r="E177" s="129">
        <f>N$11</f>
        <v>25.1341</v>
      </c>
      <c r="F177" s="130">
        <f>ROUND(E177*D177,2)</f>
        <v>0.01</v>
      </c>
    </row>
    <row r="178" spans="1:6">
      <c r="A178" s="48"/>
      <c r="B178" s="49"/>
      <c r="C178" s="49"/>
      <c r="D178" s="49"/>
      <c r="E178" s="50" t="s">
        <v>120</v>
      </c>
      <c r="F178" s="67">
        <f>F176+F177</f>
        <v>6.9999999999999993E-2</v>
      </c>
    </row>
    <row r="179" spans="1:6">
      <c r="A179" s="131"/>
      <c r="B179" s="132" t="s">
        <v>164</v>
      </c>
      <c r="C179" s="132"/>
      <c r="D179" s="132"/>
      <c r="E179" s="133"/>
      <c r="F179" s="134"/>
    </row>
    <row r="180" spans="1:6">
      <c r="A180" s="68" t="str">
        <f>I15</f>
        <v>I0667</v>
      </c>
      <c r="B180" s="69" t="str">
        <f>J$15</f>
        <v>TRATOR DE PNEUS (CHI)</v>
      </c>
      <c r="C180" s="68" t="str">
        <f>M$15</f>
        <v>H</v>
      </c>
      <c r="D180" s="70">
        <v>0</v>
      </c>
      <c r="E180" s="124">
        <f>N$15</f>
        <v>19.955835294117648</v>
      </c>
      <c r="F180" s="125">
        <f>ROUND(E180*D180,2)</f>
        <v>0</v>
      </c>
    </row>
    <row r="181" spans="1:6" s="72" customFormat="1">
      <c r="A181" s="68" t="str">
        <f>I$16</f>
        <v>I0780</v>
      </c>
      <c r="B181" s="69" t="str">
        <f>J$16</f>
        <v>TRATOR DE PNEUS (CHP)</v>
      </c>
      <c r="C181" s="135" t="str">
        <f>M$16</f>
        <v>H</v>
      </c>
      <c r="D181" s="70">
        <f>1/2000</f>
        <v>5.0000000000000001E-4</v>
      </c>
      <c r="E181" s="124">
        <f>O$16</f>
        <v>80.821835294117648</v>
      </c>
      <c r="F181" s="125">
        <f>ROUND(E181*D181,2)</f>
        <v>0.04</v>
      </c>
    </row>
    <row r="182" spans="1:6" s="72" customFormat="1">
      <c r="A182" s="135" t="str">
        <f>I17</f>
        <v>I0672</v>
      </c>
      <c r="B182" s="71" t="str">
        <f>J$17</f>
        <v>VASSOURA MECÂNICA (CHI) (Com peneira)</v>
      </c>
      <c r="C182" s="135" t="str">
        <f t="shared" ref="C182" si="2">M$18</f>
        <v>H</v>
      </c>
      <c r="D182" s="70">
        <v>0</v>
      </c>
      <c r="E182" s="124">
        <f>N$17</f>
        <v>2.5064324999999998</v>
      </c>
      <c r="F182" s="125">
        <f t="shared" ref="F182:F185" si="3">ROUND(E182*D182,2)</f>
        <v>0</v>
      </c>
    </row>
    <row r="183" spans="1:6">
      <c r="A183" s="135" t="str">
        <f>I$34</f>
        <v>I0705</v>
      </c>
      <c r="B183" s="71" t="str">
        <f>J$18</f>
        <v>VASSOURA MECÂNICA (CHP) (Com peneira)</v>
      </c>
      <c r="C183" s="135" t="str">
        <f>M$18</f>
        <v>H</v>
      </c>
      <c r="D183" s="136">
        <f>1/2000</f>
        <v>5.0000000000000001E-4</v>
      </c>
      <c r="E183" s="124">
        <f>O$18</f>
        <v>8.0129887499999999</v>
      </c>
      <c r="F183" s="125">
        <f t="shared" si="3"/>
        <v>0</v>
      </c>
    </row>
    <row r="184" spans="1:6" s="72" customFormat="1">
      <c r="A184" s="135" t="str">
        <f>I21</f>
        <v>I0576</v>
      </c>
      <c r="B184" s="71" t="str">
        <f>J$21</f>
        <v>CAMINHÃO BASCULANTE 12 M3 (CHI)</v>
      </c>
      <c r="C184" s="135" t="str">
        <f>M$21</f>
        <v>H</v>
      </c>
      <c r="D184" s="70">
        <v>0</v>
      </c>
      <c r="E184" s="124">
        <f>N$21</f>
        <v>26.992158823529412</v>
      </c>
      <c r="F184" s="125">
        <f t="shared" si="3"/>
        <v>0</v>
      </c>
    </row>
    <row r="185" spans="1:6" s="72" customFormat="1">
      <c r="A185" s="135" t="str">
        <f>I$22</f>
        <v>I0688</v>
      </c>
      <c r="B185" s="71" t="str">
        <f>J$22</f>
        <v>CAMINHÃO BASCULANTE 12 M3 (CHP)</v>
      </c>
      <c r="C185" s="135" t="str">
        <f>M$22</f>
        <v>H</v>
      </c>
      <c r="D185" s="136">
        <f>1.3/2000</f>
        <v>6.4999999999999997E-4</v>
      </c>
      <c r="E185" s="124">
        <f>O$22</f>
        <v>130.43274705882354</v>
      </c>
      <c r="F185" s="125">
        <f t="shared" si="3"/>
        <v>0.08</v>
      </c>
    </row>
    <row r="186" spans="1:6" s="72" customFormat="1">
      <c r="A186" s="116"/>
      <c r="B186" s="64"/>
      <c r="C186" s="120"/>
      <c r="D186" s="121"/>
      <c r="E186" s="122"/>
      <c r="F186" s="123"/>
    </row>
    <row r="187" spans="1:6">
      <c r="A187" s="51"/>
      <c r="B187" s="52"/>
      <c r="C187" s="52"/>
      <c r="D187" s="52"/>
      <c r="E187" s="53" t="s">
        <v>165</v>
      </c>
      <c r="F187" s="57">
        <f>F180+F183</f>
        <v>0</v>
      </c>
    </row>
    <row r="188" spans="1:6">
      <c r="A188" s="51"/>
      <c r="B188" s="52" t="s">
        <v>121</v>
      </c>
      <c r="C188" s="52"/>
      <c r="D188" s="52"/>
      <c r="E188" s="53"/>
      <c r="F188" s="54"/>
    </row>
    <row r="189" spans="1:6">
      <c r="A189" s="42"/>
      <c r="B189" s="43"/>
      <c r="C189" s="44"/>
      <c r="D189" s="45"/>
      <c r="E189" s="58"/>
      <c r="F189" s="46">
        <v>0</v>
      </c>
    </row>
    <row r="190" spans="1:6">
      <c r="A190" s="55"/>
      <c r="B190" s="56"/>
      <c r="C190" s="56"/>
      <c r="D190" s="56"/>
      <c r="E190" s="47"/>
      <c r="F190" s="111">
        <v>0</v>
      </c>
    </row>
    <row r="191" spans="1:6">
      <c r="A191" s="51"/>
      <c r="B191" s="52"/>
      <c r="C191" s="52"/>
      <c r="D191" s="52"/>
      <c r="E191" s="53" t="s">
        <v>122</v>
      </c>
      <c r="F191" s="57">
        <f>F189+F190</f>
        <v>0</v>
      </c>
    </row>
    <row r="192" spans="1:6">
      <c r="A192" s="38"/>
      <c r="B192" s="39"/>
      <c r="C192" s="39"/>
      <c r="D192" s="39"/>
      <c r="E192" s="40" t="s">
        <v>123</v>
      </c>
      <c r="F192" s="59">
        <f>F178+F187+F191</f>
        <v>6.9999999999999993E-2</v>
      </c>
    </row>
    <row r="193" spans="1:6">
      <c r="A193" s="60"/>
      <c r="B193" s="27"/>
      <c r="C193" s="27"/>
      <c r="D193" s="27"/>
      <c r="E193" s="61" t="s">
        <v>124</v>
      </c>
      <c r="F193" s="62">
        <f>ROUND(F192*0.2691,2)</f>
        <v>0.02</v>
      </c>
    </row>
    <row r="194" spans="1:6">
      <c r="A194" s="63"/>
      <c r="B194" s="64"/>
      <c r="C194" s="64"/>
      <c r="D194" s="64"/>
      <c r="E194" s="65" t="s">
        <v>125</v>
      </c>
      <c r="F194" s="66">
        <f>F192+F193</f>
        <v>0.09</v>
      </c>
    </row>
    <row r="198" spans="1:6">
      <c r="A198" s="28" t="s">
        <v>111</v>
      </c>
      <c r="B198" s="75">
        <v>9</v>
      </c>
      <c r="C198" s="29"/>
      <c r="D198" s="29"/>
      <c r="E198" s="30" t="s">
        <v>112</v>
      </c>
      <c r="F198" s="31" t="s">
        <v>207</v>
      </c>
    </row>
    <row r="199" spans="1:6">
      <c r="A199" s="32" t="s">
        <v>113</v>
      </c>
      <c r="B199" s="149" t="s">
        <v>210</v>
      </c>
      <c r="C199" s="149"/>
      <c r="D199" s="149"/>
      <c r="E199" s="149"/>
      <c r="F199" s="149"/>
    </row>
    <row r="200" spans="1:6">
      <c r="A200" s="33" t="s">
        <v>162</v>
      </c>
      <c r="B200" s="34"/>
      <c r="C200" s="34"/>
      <c r="D200" s="34"/>
      <c r="E200" s="35" t="s">
        <v>161</v>
      </c>
      <c r="F200" s="36">
        <f>F154</f>
        <v>1.1599999999999999</v>
      </c>
    </row>
    <row r="201" spans="1:6">
      <c r="A201" s="37" t="s">
        <v>114</v>
      </c>
      <c r="B201" s="37" t="s">
        <v>115</v>
      </c>
      <c r="C201" s="37" t="s">
        <v>116</v>
      </c>
      <c r="D201" s="37" t="s">
        <v>2</v>
      </c>
      <c r="E201" s="37" t="s">
        <v>117</v>
      </c>
      <c r="F201" s="37" t="s">
        <v>118</v>
      </c>
    </row>
    <row r="202" spans="1:6">
      <c r="A202" s="38"/>
      <c r="B202" s="39" t="s">
        <v>119</v>
      </c>
      <c r="C202" s="39"/>
      <c r="D202" s="39"/>
      <c r="E202" s="40"/>
      <c r="F202" s="41"/>
    </row>
    <row r="203" spans="1:6">
      <c r="A203" s="68" t="str">
        <f>I$10</f>
        <v>I2543</v>
      </c>
      <c r="B203" s="69" t="str">
        <f>J$10</f>
        <v>SERVENTE / GARI</v>
      </c>
      <c r="C203" s="68" t="str">
        <f>M$10</f>
        <v>H</v>
      </c>
      <c r="D203" s="70">
        <v>0.18</v>
      </c>
      <c r="E203" s="124">
        <f>Q$10</f>
        <v>11.5761</v>
      </c>
      <c r="F203" s="125">
        <f>ROUND(E203*D203,2)</f>
        <v>2.08</v>
      </c>
    </row>
    <row r="204" spans="1:6">
      <c r="A204" s="126" t="str">
        <f>I$11</f>
        <v>I6815</v>
      </c>
      <c r="B204" s="127" t="str">
        <f>J$11</f>
        <v>ENCARREGADO DE TURMA / FEITOR</v>
      </c>
      <c r="C204" s="126" t="str">
        <f>M$11</f>
        <v>H</v>
      </c>
      <c r="D204" s="128">
        <f>D203/10</f>
        <v>1.7999999999999999E-2</v>
      </c>
      <c r="E204" s="129">
        <f>N$11</f>
        <v>25.1341</v>
      </c>
      <c r="F204" s="130">
        <f>ROUND(E204*D204,2)</f>
        <v>0.45</v>
      </c>
    </row>
    <row r="205" spans="1:6">
      <c r="A205" s="48"/>
      <c r="B205" s="49"/>
      <c r="C205" s="49"/>
      <c r="D205" s="49"/>
      <c r="E205" s="50" t="s">
        <v>120</v>
      </c>
      <c r="F205" s="67">
        <f>F203+F204</f>
        <v>2.5300000000000002</v>
      </c>
    </row>
    <row r="206" spans="1:6">
      <c r="A206" s="131"/>
      <c r="B206" s="132" t="s">
        <v>164</v>
      </c>
      <c r="C206" s="132"/>
      <c r="D206" s="132"/>
      <c r="E206" s="133"/>
      <c r="F206" s="134"/>
    </row>
    <row r="207" spans="1:6">
      <c r="A207" s="68"/>
      <c r="B207" s="69"/>
      <c r="C207" s="68"/>
      <c r="D207" s="70"/>
      <c r="E207" s="124"/>
      <c r="F207" s="125">
        <f>ROUND(E207*D207,2)</f>
        <v>0</v>
      </c>
    </row>
    <row r="208" spans="1:6">
      <c r="A208" s="135"/>
      <c r="B208" s="71"/>
      <c r="C208" s="135"/>
      <c r="D208" s="136"/>
      <c r="E208" s="129"/>
      <c r="F208" s="125">
        <f>ROUND(E208*D208,2)</f>
        <v>0</v>
      </c>
    </row>
    <row r="209" spans="1:6">
      <c r="A209" s="48"/>
      <c r="B209" s="49"/>
      <c r="C209" s="49"/>
      <c r="D209" s="49"/>
      <c r="E209" s="50" t="s">
        <v>165</v>
      </c>
      <c r="F209" s="137">
        <f>F207+F208</f>
        <v>0</v>
      </c>
    </row>
    <row r="210" spans="1:6">
      <c r="A210" s="131"/>
      <c r="B210" s="132" t="s">
        <v>121</v>
      </c>
      <c r="C210" s="132"/>
      <c r="D210" s="132"/>
      <c r="E210" s="133"/>
      <c r="F210" s="134"/>
    </row>
    <row r="211" spans="1:6">
      <c r="A211" s="68" t="str">
        <f>I71</f>
        <v>I2496</v>
      </c>
      <c r="B211" s="69" t="str">
        <f>J71</f>
        <v>SUPERCAL</v>
      </c>
      <c r="C211" s="68" t="str">
        <f>M71</f>
        <v>KG</v>
      </c>
      <c r="D211" s="70">
        <v>0.4</v>
      </c>
      <c r="E211" s="138">
        <f>N71</f>
        <v>1.06</v>
      </c>
      <c r="F211" s="125">
        <f>ROUND(E211*D211,2)</f>
        <v>0.42</v>
      </c>
    </row>
    <row r="212" spans="1:6">
      <c r="A212" s="71"/>
      <c r="B212" s="71"/>
      <c r="C212" s="71"/>
      <c r="D212" s="71"/>
      <c r="E212" s="129"/>
      <c r="F212" s="139">
        <v>0</v>
      </c>
    </row>
    <row r="213" spans="1:6">
      <c r="A213" s="48"/>
      <c r="B213" s="49"/>
      <c r="C213" s="49"/>
      <c r="D213" s="49"/>
      <c r="E213" s="50" t="s">
        <v>122</v>
      </c>
      <c r="F213" s="137">
        <f>F211+F212</f>
        <v>0.42</v>
      </c>
    </row>
    <row r="214" spans="1:6">
      <c r="A214" s="38"/>
      <c r="B214" s="39" t="s">
        <v>213</v>
      </c>
      <c r="C214" s="39"/>
      <c r="D214" s="39"/>
      <c r="E214" s="40" t="s">
        <v>123</v>
      </c>
      <c r="F214" s="59">
        <f>(F205+F209+F213)*0.27</f>
        <v>0.7965000000000001</v>
      </c>
    </row>
    <row r="215" spans="1:6">
      <c r="A215" s="60"/>
      <c r="B215" s="140" t="s">
        <v>214</v>
      </c>
      <c r="C215" s="27"/>
      <c r="D215" s="27"/>
      <c r="E215" s="61" t="s">
        <v>124</v>
      </c>
      <c r="F215" s="62">
        <f>ROUND(F214*0.2691,2)</f>
        <v>0.21</v>
      </c>
    </row>
    <row r="216" spans="1:6">
      <c r="A216" s="63"/>
      <c r="B216" s="144" t="s">
        <v>215</v>
      </c>
      <c r="C216" s="64"/>
      <c r="D216" s="64"/>
      <c r="E216" s="65" t="s">
        <v>125</v>
      </c>
      <c r="F216" s="66">
        <f>F214+F215</f>
        <v>1.0065000000000002</v>
      </c>
    </row>
    <row r="220" spans="1:6">
      <c r="A220" s="28" t="s">
        <v>111</v>
      </c>
      <c r="B220" s="75">
        <v>10</v>
      </c>
      <c r="C220" s="29"/>
      <c r="D220" s="29"/>
      <c r="E220" s="30" t="s">
        <v>112</v>
      </c>
      <c r="F220" s="31" t="s">
        <v>6</v>
      </c>
    </row>
    <row r="221" spans="1:6">
      <c r="A221" s="32" t="s">
        <v>113</v>
      </c>
      <c r="B221" s="149" t="s">
        <v>19</v>
      </c>
      <c r="C221" s="149"/>
      <c r="D221" s="149"/>
      <c r="E221" s="149"/>
      <c r="F221" s="149"/>
    </row>
    <row r="222" spans="1:6">
      <c r="A222" s="33" t="s">
        <v>162</v>
      </c>
      <c r="B222" s="34"/>
      <c r="C222" s="34"/>
      <c r="D222" s="34"/>
      <c r="E222" s="35" t="s">
        <v>161</v>
      </c>
      <c r="F222" s="36">
        <f>F176</f>
        <v>0.06</v>
      </c>
    </row>
    <row r="223" spans="1:6">
      <c r="A223" s="37" t="s">
        <v>114</v>
      </c>
      <c r="B223" s="37" t="s">
        <v>115</v>
      </c>
      <c r="C223" s="37" t="s">
        <v>116</v>
      </c>
      <c r="D223" s="37" t="s">
        <v>2</v>
      </c>
      <c r="E223" s="37" t="s">
        <v>117</v>
      </c>
      <c r="F223" s="37" t="s">
        <v>118</v>
      </c>
    </row>
    <row r="224" spans="1:6">
      <c r="A224" s="38"/>
      <c r="B224" s="39" t="s">
        <v>119</v>
      </c>
      <c r="C224" s="39"/>
      <c r="D224" s="39"/>
      <c r="E224" s="40"/>
      <c r="F224" s="41"/>
    </row>
    <row r="225" spans="1:6">
      <c r="A225" s="68" t="str">
        <f>I$10</f>
        <v>I2543</v>
      </c>
      <c r="B225" s="69" t="str">
        <f>J$10</f>
        <v>SERVENTE / GARI</v>
      </c>
      <c r="C225" s="68" t="str">
        <f>M$10</f>
        <v>H</v>
      </c>
      <c r="D225" s="70">
        <f>D230*3</f>
        <v>3</v>
      </c>
      <c r="E225" s="124">
        <f>Q$10</f>
        <v>11.5761</v>
      </c>
      <c r="F225" s="125">
        <f>ROUND(E225*D225,2)</f>
        <v>34.729999999999997</v>
      </c>
    </row>
    <row r="226" spans="1:6">
      <c r="A226" s="126" t="str">
        <f>I$11</f>
        <v>I6815</v>
      </c>
      <c r="B226" s="127" t="str">
        <f>J$11</f>
        <v>ENCARREGADO DE TURMA / FEITOR</v>
      </c>
      <c r="C226" s="126" t="str">
        <f>M$11</f>
        <v>H</v>
      </c>
      <c r="D226" s="128">
        <f>D225/6</f>
        <v>0.5</v>
      </c>
      <c r="E226" s="129">
        <f>N$11</f>
        <v>25.1341</v>
      </c>
      <c r="F226" s="130">
        <f>ROUND(E226*D226,2)</f>
        <v>12.57</v>
      </c>
    </row>
    <row r="227" spans="1:6">
      <c r="A227" s="48"/>
      <c r="B227" s="49"/>
      <c r="C227" s="49"/>
      <c r="D227" s="49"/>
      <c r="E227" s="50" t="s">
        <v>120</v>
      </c>
      <c r="F227" s="67">
        <f>F225+F226</f>
        <v>47.3</v>
      </c>
    </row>
    <row r="228" spans="1:6">
      <c r="A228" s="131"/>
      <c r="B228" s="132" t="s">
        <v>164</v>
      </c>
      <c r="C228" s="132"/>
      <c r="D228" s="132"/>
      <c r="E228" s="133"/>
      <c r="F228" s="134"/>
    </row>
    <row r="229" spans="1:6">
      <c r="A229" s="68" t="str">
        <f>I23</f>
        <v>I0582</v>
      </c>
      <c r="B229" s="69" t="str">
        <f>J$23</f>
        <v>CAMINHÃO C/CARROCERIA DE MADEIRA HP 184 (CHI)</v>
      </c>
      <c r="C229" s="68" t="str">
        <f>M$23</f>
        <v>H</v>
      </c>
      <c r="D229" s="70">
        <v>0</v>
      </c>
      <c r="E229" s="124">
        <f>N$23</f>
        <v>26.742547999999999</v>
      </c>
      <c r="F229" s="125">
        <f>ROUND(E229*D229,2)</f>
        <v>0</v>
      </c>
    </row>
    <row r="230" spans="1:6">
      <c r="A230" s="135" t="str">
        <f>I$24</f>
        <v>I0693</v>
      </c>
      <c r="B230" s="71" t="str">
        <f>J$24</f>
        <v>CAMINHÃO C/CARROCERIA DE MADEIRA HP 184 (CHP)</v>
      </c>
      <c r="C230" s="135" t="str">
        <f>M$24</f>
        <v>H</v>
      </c>
      <c r="D230" s="136">
        <v>1</v>
      </c>
      <c r="E230" s="129">
        <f>O$24</f>
        <v>121.32481466666665</v>
      </c>
      <c r="F230" s="71">
        <f>ROUND(E230*D230,2)</f>
        <v>121.32</v>
      </c>
    </row>
    <row r="231" spans="1:6">
      <c r="A231" s="48"/>
      <c r="B231" s="49"/>
      <c r="C231" s="49"/>
      <c r="D231" s="49"/>
      <c r="E231" s="50" t="s">
        <v>165</v>
      </c>
      <c r="F231" s="137">
        <f>F229+F230</f>
        <v>121.32</v>
      </c>
    </row>
    <row r="232" spans="1:6">
      <c r="A232" s="131"/>
      <c r="B232" s="132" t="s">
        <v>121</v>
      </c>
      <c r="C232" s="132"/>
      <c r="D232" s="132"/>
      <c r="E232" s="133"/>
      <c r="F232" s="134"/>
    </row>
    <row r="233" spans="1:6">
      <c r="A233" s="68"/>
      <c r="B233" s="69"/>
      <c r="C233" s="68"/>
      <c r="D233" s="70"/>
      <c r="E233" s="138"/>
      <c r="F233" s="125">
        <v>0</v>
      </c>
    </row>
    <row r="234" spans="1:6">
      <c r="A234" s="71"/>
      <c r="B234" s="71"/>
      <c r="C234" s="71"/>
      <c r="D234" s="71"/>
      <c r="E234" s="129"/>
      <c r="F234" s="139">
        <v>0</v>
      </c>
    </row>
    <row r="235" spans="1:6">
      <c r="A235" s="48"/>
      <c r="B235" s="49"/>
      <c r="C235" s="49"/>
      <c r="D235" s="49"/>
      <c r="E235" s="50" t="s">
        <v>122</v>
      </c>
      <c r="F235" s="137">
        <f>F233+F234</f>
        <v>0</v>
      </c>
    </row>
    <row r="236" spans="1:6">
      <c r="A236" s="38"/>
      <c r="B236" s="39"/>
      <c r="C236" s="39"/>
      <c r="D236" s="39"/>
      <c r="E236" s="40" t="s">
        <v>123</v>
      </c>
      <c r="F236" s="59">
        <f>F227+F231+F235</f>
        <v>168.62</v>
      </c>
    </row>
    <row r="237" spans="1:6">
      <c r="A237" s="60"/>
      <c r="B237" s="27"/>
      <c r="C237" s="27"/>
      <c r="D237" s="27"/>
      <c r="E237" s="61" t="s">
        <v>124</v>
      </c>
      <c r="F237" s="62">
        <f>ROUND(F236*0.2691,2)</f>
        <v>45.38</v>
      </c>
    </row>
    <row r="238" spans="1:6">
      <c r="A238" s="63"/>
      <c r="B238" s="64"/>
      <c r="C238" s="64"/>
      <c r="D238" s="64"/>
      <c r="E238" s="65" t="s">
        <v>125</v>
      </c>
      <c r="F238" s="66">
        <f>F236+F237</f>
        <v>214</v>
      </c>
    </row>
  </sheetData>
  <mergeCells count="41">
    <mergeCell ref="B128:F128"/>
    <mergeCell ref="B150:F150"/>
    <mergeCell ref="B172:F172"/>
    <mergeCell ref="B199:F199"/>
    <mergeCell ref="J71:L71"/>
    <mergeCell ref="B221:F221"/>
    <mergeCell ref="C7:D7"/>
    <mergeCell ref="A8:F8"/>
    <mergeCell ref="B14:F14"/>
    <mergeCell ref="J9:L9"/>
    <mergeCell ref="J10:L10"/>
    <mergeCell ref="J11:L11"/>
    <mergeCell ref="J21:L21"/>
    <mergeCell ref="J15:L15"/>
    <mergeCell ref="J17:L17"/>
    <mergeCell ref="J19:L19"/>
    <mergeCell ref="J20:L20"/>
    <mergeCell ref="J18:L18"/>
    <mergeCell ref="J16:L16"/>
    <mergeCell ref="J22:L22"/>
    <mergeCell ref="J23:L23"/>
    <mergeCell ref="J24:L24"/>
    <mergeCell ref="J25:L25"/>
    <mergeCell ref="A1:F1"/>
    <mergeCell ref="C2:D2"/>
    <mergeCell ref="C4:D4"/>
    <mergeCell ref="C5:D5"/>
    <mergeCell ref="C6:D6"/>
    <mergeCell ref="J26:L26"/>
    <mergeCell ref="J27:L27"/>
    <mergeCell ref="J28:L28"/>
    <mergeCell ref="B36:F36"/>
    <mergeCell ref="J29:L29"/>
    <mergeCell ref="J30:L30"/>
    <mergeCell ref="J31:L31"/>
    <mergeCell ref="J32:L32"/>
    <mergeCell ref="B60:F60"/>
    <mergeCell ref="B82:F82"/>
    <mergeCell ref="B106:F106"/>
    <mergeCell ref="J33:L33"/>
    <mergeCell ref="J34:L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Plan3</vt:lpstr>
      <vt:lpstr>Plan4</vt:lpstr>
      <vt:lpstr>Plan3!Area_de_impressao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Kleber</cp:lastModifiedBy>
  <cp:lastPrinted>2016-12-29T16:38:58Z</cp:lastPrinted>
  <dcterms:created xsi:type="dcterms:W3CDTF">2009-08-24T13:27:15Z</dcterms:created>
  <dcterms:modified xsi:type="dcterms:W3CDTF">2016-12-29T19:37:24Z</dcterms:modified>
</cp:coreProperties>
</file>