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dat\Desktop\Analysis Project\Kickstarter_Challenge\"/>
    </mc:Choice>
  </mc:AlternateContent>
  <xr:revisionPtr revIDLastSave="0" documentId="13_ncr:1_{78F4F8C9-13EA-41FB-AC37-4195A595D002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" sheetId="1" r:id="rId1"/>
    <sheet name="Theater Outcomes by Launch Date" sheetId="5" r:id="rId2"/>
    <sheet name="Outcomes Based on Goals" sheetId="10" r:id="rId3"/>
  </sheets>
  <definedNames>
    <definedName name="_xlnm._FilterDatabase" localSheetId="0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0" l="1"/>
  <c r="G2" i="10"/>
  <c r="H2" i="10"/>
  <c r="F3" i="10"/>
  <c r="G3" i="10"/>
  <c r="H3" i="10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B12" i="10"/>
  <c r="E12" i="10" s="1"/>
  <c r="C12" i="10"/>
  <c r="D8" i="10"/>
  <c r="D15" i="10"/>
  <c r="D12" i="10"/>
  <c r="D11" i="10"/>
  <c r="D10" i="10"/>
  <c r="D9" i="10"/>
  <c r="D6" i="10"/>
  <c r="D7" i="10"/>
  <c r="D5" i="10"/>
  <c r="D4" i="10"/>
  <c r="D2" i="10"/>
  <c r="D3" i="10"/>
  <c r="C15" i="10"/>
  <c r="B15" i="10"/>
  <c r="E15" i="10" s="1"/>
  <c r="C11" i="10"/>
  <c r="C10" i="10"/>
  <c r="C9" i="10"/>
  <c r="C8" i="10"/>
  <c r="C7" i="10"/>
  <c r="C6" i="10"/>
  <c r="C5" i="10"/>
  <c r="C4" i="10"/>
  <c r="C3" i="10"/>
  <c r="C2" i="10"/>
  <c r="B11" i="10"/>
  <c r="B6" i="10"/>
  <c r="B10" i="10"/>
  <c r="B9" i="10"/>
  <c r="E9" i="10" s="1"/>
  <c r="B8" i="10"/>
  <c r="B7" i="10"/>
  <c r="B5" i="10"/>
  <c r="B4" i="10"/>
  <c r="E4" i="10" s="1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0" l="1"/>
  <c r="E3" i="10"/>
  <c r="E11" i="10"/>
  <c r="E8" i="10"/>
  <c r="E7" i="10"/>
  <c r="E6" i="10"/>
  <c r="E2" i="10"/>
  <c r="E5" i="10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<sst xmlns="http://schemas.openxmlformats.org/spreadsheetml/2006/main" count="32975" uniqueCount="8400">
  <si>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</si>
  <si>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</si>
  <si>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</si>
  <si>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</si>
  <si>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</si>
  <si>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</si>
  <si>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</si>
  <si>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</si>
  <si>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</si>
  <si>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</si>
  <si>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</si>
  <si>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</si>
  <si>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</si>
  <si>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</si>
  <si>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</si>
  <si>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</si>
  <si>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</si>
  <si>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</si>
  <si>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</si>
  <si>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</si>
  <si>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</si>
  <si>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</si>
  <si>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</si>
  <si>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</si>
  <si>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</si>
  <si>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</si>
  <si>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</si>
  <si>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</si>
  <si>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</si>
  <si>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</si>
  <si>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</si>
  <si>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</si>
  <si>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</si>
  <si>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</si>
  <si>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</si>
  <si>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</si>
  <si>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</si>
  <si>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</si>
  <si>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</si>
  <si>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</si>
  <si>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</si>
  <si>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</si>
  <si>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</si>
  <si>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</si>
  <si>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</si>
  <si>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</si>
  <si>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</si>
  <si>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</si>
  <si>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</si>
  <si>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</si>
  <si>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</si>
  <si>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</si>
  <si>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</si>
  <si>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</si>
  <si>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</si>
  <si>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</si>
  <si>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</si>
  <si>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</si>
  <si>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</si>
  <si>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</si>
  <si>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</si>
  <si>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</si>
  <si>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</si>
  <si>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</si>
  <si>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</si>
  <si>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</si>
  <si>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</si>
  <si>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</si>
  <si>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</si>
  <si>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</si>
  <si>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</si>
  <si>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</si>
  <si>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</si>
  <si>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</si>
  <si>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</si>
  <si>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</si>
  <si>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</si>
  <si>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</si>
  <si>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</si>
  <si>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</si>
  <si>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</si>
  <si>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</si>
  <si>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</si>
  <si>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</si>
  <si>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</si>
  <si>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</si>
  <si>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</si>
  <si>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</si>
  <si>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</si>
  <si>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</si>
  <si>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</si>
  <si>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</si>
  <si>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</si>
  <si>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</si>
  <si>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</si>
  <si>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</si>
  <si>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</si>
  <si>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</si>
  <si>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</si>
  <si>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</si>
  <si>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</si>
  <si>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</si>
  <si>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</si>
  <si>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</si>
  <si>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</si>
  <si>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</si>
  <si>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</si>
  <si>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</si>
  <si>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</si>
  <si>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</si>
  <si>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</si>
  <si>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</si>
  <si>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</si>
  <si>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</si>
  <si>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</si>
  <si>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</si>
  <si>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</si>
  <si>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</si>
  <si>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</si>
  <si>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</si>
  <si>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</si>
  <si>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</si>
  <si>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</si>
  <si>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</si>
  <si>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</si>
  <si>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</si>
  <si>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</si>
  <si>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</si>
  <si>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</si>
  <si>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</si>
  <si>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</si>
  <si>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</si>
  <si>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</si>
  <si>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</si>
  <si>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</si>
  <si>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</si>
  <si>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</si>
  <si>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</si>
  <si>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</si>
  <si>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</si>
  <si>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</si>
  <si>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</si>
  <si>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</si>
  <si>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</si>
  <si>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</si>
  <si>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</si>
  <si>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</si>
  <si>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</si>
  <si>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</si>
  <si>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</si>
  <si>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</si>
  <si>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</si>
  <si>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</si>
  <si>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</si>
  <si>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</si>
  <si>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</si>
  <si>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</si>
  <si>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</si>
  <si>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</si>
  <si>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</si>
  <si>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</si>
  <si>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</si>
  <si>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</si>
  <si>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</si>
  <si>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</si>
  <si>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</si>
  <si>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</si>
  <si>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</si>
  <si>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</si>
  <si>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</si>
  <si>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</si>
  <si>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</si>
  <si>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</si>
  <si>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</si>
  <si>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</si>
  <si>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</si>
  <si>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</si>
  <si>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</si>
  <si>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</si>
  <si>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</si>
  <si>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</si>
  <si>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</si>
  <si>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</si>
  <si>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</si>
  <si>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</si>
  <si>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</si>
  <si>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</si>
  <si>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</si>
  <si>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</si>
  <si>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</si>
  <si>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</si>
  <si>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</si>
  <si>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</si>
  <si>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</si>
  <si>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</si>
  <si>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</si>
  <si>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</si>
  <si>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</si>
  <si>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</si>
  <si>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</si>
  <si>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</si>
  <si>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</si>
  <si>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</si>
  <si>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</si>
  <si>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</si>
  <si>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</si>
  <si>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</si>
  <si>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</si>
  <si>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</si>
  <si>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</si>
  <si>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</si>
  <si>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</si>
  <si>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</si>
  <si>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</si>
  <si>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</si>
  <si>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</si>
  <si>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</si>
  <si>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</si>
  <si>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</si>
  <si>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</si>
  <si>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</si>
  <si>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</si>
  <si>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</si>
  <si>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</si>
  <si>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</si>
  <si>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</si>
  <si>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</si>
  <si>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</si>
  <si>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</si>
  <si>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</si>
  <si>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</si>
  <si>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</si>
  <si>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</si>
  <si>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</si>
  <si>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</si>
  <si>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</si>
  <si>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</si>
  <si>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</si>
  <si>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</si>
  <si>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</si>
  <si>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</si>
  <si>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</si>
  <si>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</si>
  <si>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</si>
  <si>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</si>
  <si>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</si>
  <si>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</si>
  <si>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</si>
  <si>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</si>
  <si>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</si>
  <si>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</si>
  <si>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</si>
  <si>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</si>
  <si>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</si>
  <si>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</si>
  <si>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</si>
  <si>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</si>
  <si>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</si>
  <si>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</si>
  <si>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</si>
  <si>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</si>
  <si>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</si>
  <si>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</si>
  <si>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</si>
  <si>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</si>
  <si>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</si>
  <si>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</si>
  <si>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</si>
  <si>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</si>
  <si>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</si>
  <si>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</si>
  <si>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</si>
  <si>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</si>
  <si>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</si>
  <si>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</si>
  <si>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</si>
  <si>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</si>
  <si>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</si>
  <si>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</si>
  <si>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</si>
  <si>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</si>
  <si>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</si>
  <si>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</si>
  <si>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</si>
  <si>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</si>
  <si>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</si>
  <si>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</si>
  <si>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</si>
  <si>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</si>
  <si>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</si>
  <si>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</si>
  <si>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</si>
  <si>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</si>
  <si>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</si>
  <si>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</si>
  <si>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</si>
  <si>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</si>
  <si>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</si>
  <si>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</si>
  <si>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</si>
  <si>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</si>
  <si>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</si>
  <si>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</si>
  <si>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</si>
  <si>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</si>
  <si>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</si>
  <si>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</si>
  <si>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</si>
  <si>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</si>
  <si>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</si>
  <si>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</si>
  <si>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</si>
  <si>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</si>
  <si>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</si>
  <si>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</si>
  <si>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</si>
  <si>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</si>
  <si>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</si>
  <si>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</si>
  <si>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</si>
  <si>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</si>
  <si>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</si>
  <si>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</si>
  <si>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</si>
  <si>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</si>
  <si>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</si>
  <si>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</si>
  <si>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</si>
  <si>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</si>
  <si>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</si>
  <si>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</si>
  <si>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</si>
  <si>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</si>
  <si>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</si>
  <si>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</si>
  <si>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</si>
  <si>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</si>
  <si>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</si>
  <si>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</si>
  <si>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</si>
  <si>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</si>
  <si>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</si>
  <si>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</si>
  <si>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</si>
  <si>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</si>
  <si>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</si>
  <si>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</si>
  <si>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</si>
  <si>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</si>
  <si>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</si>
  <si>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</si>
  <si>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</si>
  <si>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</si>
  <si>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</si>
  <si>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</si>
  <si>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</si>
  <si>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</si>
  <si>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</si>
  <si>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</si>
  <si>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</si>
  <si>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</si>
  <si>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</si>
  <si>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</si>
  <si>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</si>
  <si>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</si>
  <si>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</si>
  <si>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</si>
  <si>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</si>
  <si>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</si>
  <si>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</si>
  <si>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</si>
  <si>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</si>
  <si>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</si>
  <si>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</si>
  <si>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</si>
  <si>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</si>
  <si>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</si>
  <si>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</si>
  <si>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</si>
  <si>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</si>
  <si>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</si>
  <si>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</si>
  <si>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</si>
  <si>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</si>
  <si>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</si>
  <si>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</si>
  <si>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</si>
  <si>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</si>
  <si>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</si>
  <si>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</si>
  <si>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</si>
  <si>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</si>
  <si>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</si>
  <si>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</si>
  <si>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</si>
  <si>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</si>
  <si>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</si>
  <si>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</si>
  <si>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</si>
  <si>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</si>
  <si>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</si>
  <si>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</si>
  <si>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</si>
  <si>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</si>
  <si>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</si>
  <si>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</si>
  <si>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</si>
  <si>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</si>
  <si>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</si>
  <si>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</si>
  <si>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</si>
  <si>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</si>
  <si>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</si>
  <si>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</si>
  <si>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</si>
  <si>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</si>
  <si>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</si>
  <si>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</si>
  <si>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</si>
  <si>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</si>
  <si>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</si>
  <si>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</si>
  <si>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</si>
  <si>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</si>
  <si>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</si>
  <si>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</si>
  <si>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</si>
  <si>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</si>
  <si>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</si>
  <si>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</si>
  <si>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</si>
  <si>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</si>
  <si>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</si>
  <si>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</si>
  <si>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</si>
  <si>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</si>
  <si>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</si>
  <si>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</si>
  <si>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</si>
  <si>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</si>
  <si>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</si>
  <si>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</si>
  <si>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</si>
  <si>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</si>
  <si>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</si>
  <si>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</si>
  <si>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</si>
  <si>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</si>
  <si>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</si>
  <si>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</si>
  <si>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</si>
  <si>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</si>
  <si>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</si>
  <si>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</si>
  <si>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</si>
  <si>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</si>
  <si>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</si>
  <si>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</si>
  <si>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</si>
  <si>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</si>
  <si>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</si>
  <si>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</si>
  <si>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</si>
  <si>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</si>
  <si>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</si>
  <si>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</si>
  <si>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</si>
  <si>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</si>
  <si>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</si>
  <si>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</si>
  <si>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</si>
  <si>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</si>
  <si>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</si>
  <si>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</si>
  <si>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</si>
  <si>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</si>
  <si>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</si>
  <si>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</si>
  <si>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</si>
  <si>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</si>
  <si>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</si>
  <si>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</si>
  <si>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</si>
  <si>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</si>
  <si>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</si>
  <si>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</si>
  <si>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</si>
  <si>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</si>
  <si>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</si>
  <si>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</si>
  <si>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</si>
  <si>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</si>
  <si>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</si>
  <si>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</si>
  <si>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</si>
  <si>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</si>
  <si>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</si>
  <si>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</si>
  <si>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</si>
  <si>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</si>
  <si>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</si>
  <si>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</si>
  <si>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</si>
  <si>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</si>
  <si>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</si>
  <si>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</si>
  <si>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</si>
  <si>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</si>
  <si>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</si>
  <si>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</si>
  <si>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</si>
  <si>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</si>
  <si>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</si>
  <si>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</si>
  <si>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</si>
  <si>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</si>
  <si>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</si>
  <si>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</si>
  <si>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</si>
  <si>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</si>
  <si>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</si>
  <si>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</si>
  <si>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</si>
  <si>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</si>
  <si>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</si>
  <si>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</si>
  <si>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</si>
  <si>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</si>
  <si>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</si>
  <si>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</si>
  <si>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</si>
  <si>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</si>
  <si>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</si>
  <si>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</si>
  <si>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</si>
  <si>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</si>
  <si>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</si>
  <si>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</si>
  <si>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</si>
  <si>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</si>
  <si>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</si>
  <si>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</si>
  <si>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</si>
  <si>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</si>
  <si>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</si>
  <si>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</si>
  <si>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</si>
  <si>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</si>
  <si>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</si>
  <si>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</si>
  <si>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</si>
  <si>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</si>
  <si>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</si>
  <si>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</si>
  <si>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</si>
  <si>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</si>
  <si>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</si>
  <si>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</si>
  <si>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</si>
  <si>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</si>
  <si>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</si>
  <si>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</si>
  <si>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</si>
  <si>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</si>
  <si>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</si>
  <si>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</si>
  <si>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</si>
  <si>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</si>
  <si>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</si>
  <si>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</si>
  <si>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</si>
  <si>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</si>
  <si>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</si>
  <si>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</si>
  <si>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</si>
  <si>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</si>
  <si>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</si>
  <si>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</si>
  <si>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</si>
  <si>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</si>
  <si>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</si>
  <si>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</si>
  <si>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</si>
  <si>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</si>
  <si>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</si>
  <si>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</si>
  <si>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</si>
  <si>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</si>
  <si>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</si>
  <si>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</si>
  <si>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</si>
  <si>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</si>
  <si>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</si>
  <si>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</si>
  <si>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</si>
  <si>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</si>
  <si>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</si>
  <si>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</si>
  <si>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</si>
  <si>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</si>
  <si>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</si>
  <si>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</si>
  <si>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</si>
  <si>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</si>
  <si>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</si>
  <si>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</si>
  <si>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</si>
  <si>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</si>
  <si>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</si>
  <si>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</si>
  <si>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</si>
  <si>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</si>
  <si>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</si>
  <si>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</si>
  <si>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</si>
  <si>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</si>
  <si>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</si>
  <si>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</si>
  <si>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</si>
  <si>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</si>
  <si>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</si>
  <si>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</si>
  <si>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</si>
  <si>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</si>
  <si>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</si>
  <si>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</si>
  <si>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</si>
  <si>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</si>
  <si>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</si>
  <si>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</si>
  <si>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</si>
  <si>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</si>
  <si>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</si>
  <si>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</si>
  <si>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</si>
  <si>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</si>
  <si>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</si>
  <si>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</si>
  <si>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</si>
  <si>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</si>
  <si>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</si>
  <si>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</si>
  <si>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</si>
  <si>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</si>
  <si>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</si>
  <si>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</si>
  <si>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</si>
  <si>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</si>
  <si>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</si>
  <si>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</si>
  <si>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</si>
  <si>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</si>
  <si>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</si>
  <si>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</si>
  <si>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</si>
  <si>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</si>
  <si>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</si>
  <si>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</si>
  <si>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</si>
  <si>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</si>
  <si>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</si>
  <si>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</si>
  <si>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</si>
  <si>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</si>
  <si>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</si>
  <si>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</si>
  <si>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</si>
  <si>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</si>
  <si>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</si>
  <si>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</si>
  <si>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</si>
  <si>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</si>
  <si>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</si>
  <si>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</si>
  <si>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</si>
  <si>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</si>
  <si>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</si>
  <si>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</si>
  <si>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</si>
  <si>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</si>
  <si>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</si>
  <si>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</si>
  <si>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</si>
  <si>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</si>
  <si>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</si>
  <si>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</si>
  <si>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</si>
  <si>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</si>
  <si>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</si>
  <si>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</si>
  <si>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</si>
  <si>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</si>
  <si>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</si>
  <si>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</si>
  <si>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</si>
  <si>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</si>
  <si>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</si>
  <si>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</si>
  <si>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</si>
  <si>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</si>
  <si>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</si>
  <si>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</si>
  <si>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</si>
  <si>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</si>
  <si>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</si>
  <si>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</si>
  <si>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</si>
  <si>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</si>
  <si>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</si>
  <si>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</si>
  <si>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</si>
  <si>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</si>
  <si>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</si>
  <si>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</si>
  <si>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</si>
  <si>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</si>
  <si>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</si>
  <si>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</si>
  <si>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</si>
  <si>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</si>
  <si>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</si>
  <si>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</si>
  <si>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</si>
  <si>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</si>
  <si>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</si>
  <si>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</si>
  <si>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</si>
  <si>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</si>
  <si>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</si>
  <si>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</si>
  <si>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</si>
  <si>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</si>
  <si>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</si>
  <si>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</si>
  <si>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</si>
  <si>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</si>
  <si>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</si>
  <si>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</si>
  <si>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</si>
  <si>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</si>
  <si>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</si>
  <si>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</si>
  <si>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</si>
  <si>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</si>
  <si>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</si>
  <si>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</si>
  <si>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</si>
  <si>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</si>
  <si>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</si>
  <si>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</si>
  <si>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</si>
  <si>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</si>
  <si>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</si>
  <si>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</si>
  <si>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</si>
  <si>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</si>
  <si>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</si>
  <si>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</si>
  <si>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</si>
  <si>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</si>
  <si>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</si>
  <si>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</si>
  <si>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</si>
  <si>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</si>
  <si>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</si>
  <si>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</si>
  <si>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</si>
  <si>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</si>
  <si>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</si>
  <si>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</si>
  <si>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</si>
  <si>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</si>
  <si>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</si>
  <si>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</si>
  <si>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</si>
  <si>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</si>
  <si>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</si>
  <si>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</si>
  <si>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</si>
  <si>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</si>
  <si>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</si>
  <si>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</si>
  <si>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</si>
  <si>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</si>
  <si>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</si>
  <si>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</si>
  <si>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</si>
  <si>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</si>
  <si>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</si>
  <si>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</si>
  <si>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</si>
  <si>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</si>
  <si>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</si>
  <si>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</si>
  <si>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</si>
  <si>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</si>
  <si>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</si>
  <si>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</si>
  <si>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</si>
  <si>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</si>
  <si>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</si>
  <si>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</si>
  <si>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</si>
  <si>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</si>
  <si>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</si>
  <si>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</si>
  <si>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</si>
  <si>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</si>
  <si>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</si>
  <si>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</si>
  <si>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</si>
  <si>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</si>
  <si>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</si>
  <si>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</si>
  <si>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</si>
  <si>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</si>
  <si>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</si>
  <si>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</si>
  <si>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</si>
  <si>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</si>
  <si>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</si>
  <si>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</si>
  <si>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</si>
  <si>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</si>
  <si>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</si>
  <si>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</si>
  <si>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</si>
  <si>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</si>
  <si>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</si>
  <si>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</si>
  <si>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</si>
  <si>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</si>
  <si>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</si>
  <si>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</si>
  <si>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</si>
  <si>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</si>
  <si>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</si>
  <si>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</si>
  <si>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</si>
  <si>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</si>
  <si>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</si>
  <si>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</si>
  <si>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</si>
  <si>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</si>
  <si>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</si>
  <si>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</si>
  <si>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</si>
  <si>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</si>
  <si>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</si>
  <si>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</si>
  <si>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</si>
  <si>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</si>
  <si>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</si>
  <si>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</si>
  <si>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</si>
  <si>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</si>
  <si>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</si>
  <si>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</si>
  <si>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</si>
  <si>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</si>
  <si>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</si>
  <si>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</si>
  <si>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</si>
  <si>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</si>
  <si>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</si>
  <si>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</si>
  <si>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</si>
  <si>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</si>
  <si>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</si>
  <si>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</si>
  <si>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</si>
  <si>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</si>
  <si>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</si>
  <si>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</si>
  <si>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</si>
  <si>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</si>
  <si>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</si>
  <si>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</si>
  <si>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</si>
  <si>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</si>
  <si>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</si>
  <si>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</si>
  <si>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</si>
  <si>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</si>
  <si>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</si>
  <si>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</si>
  <si>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</si>
  <si>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</si>
  <si>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</si>
  <si>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</si>
  <si>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</si>
  <si>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</si>
  <si>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</si>
  <si>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</si>
  <si>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</si>
  <si>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</si>
  <si>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</si>
  <si>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</si>
  <si>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</si>
  <si>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</si>
  <si>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</si>
  <si>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</si>
  <si>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</si>
  <si>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</si>
  <si>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</si>
  <si>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</si>
  <si>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</si>
  <si>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</si>
  <si>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</si>
  <si>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</si>
  <si>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</si>
  <si>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</si>
  <si>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</si>
  <si>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</si>
  <si>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</si>
  <si>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</si>
  <si>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</si>
  <si>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</si>
  <si>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</si>
  <si>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</si>
  <si>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</si>
  <si>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</si>
  <si>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</si>
  <si>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</si>
  <si>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</si>
  <si>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</si>
  <si>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</si>
  <si>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</si>
  <si>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</si>
  <si>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</si>
  <si>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</si>
  <si>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</si>
  <si>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</si>
  <si>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</si>
  <si>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</si>
  <si>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</si>
  <si>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</si>
  <si>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</si>
  <si>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</si>
  <si>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</si>
  <si>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</si>
  <si>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</si>
  <si>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</si>
  <si>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</si>
  <si>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</si>
  <si>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</si>
  <si>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</si>
  <si>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</si>
  <si>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</si>
  <si>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</si>
  <si>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</si>
  <si>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</si>
  <si>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</si>
  <si>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</si>
  <si>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</si>
  <si>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</si>
  <si>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</si>
  <si>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</si>
  <si>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</si>
  <si>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</si>
  <si>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</si>
  <si>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</si>
  <si>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</si>
  <si>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</si>
  <si>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</si>
  <si>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</si>
  <si>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</si>
  <si>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</si>
  <si>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</si>
  <si>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</si>
  <si>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</si>
  <si>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</si>
  <si>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</si>
  <si>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</si>
  <si>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</si>
  <si>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</si>
  <si>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</si>
  <si>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</si>
  <si>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</si>
  <si>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</si>
  <si>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</si>
  <si>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</si>
  <si>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</si>
  <si>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</si>
  <si>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</si>
  <si>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</si>
  <si>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</si>
  <si>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</si>
  <si>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</si>
  <si>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</si>
  <si>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</si>
  <si>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</si>
  <si>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</si>
  <si>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</si>
  <si>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</si>
  <si>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</si>
  <si>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</si>
  <si>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</si>
  <si>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</si>
  <si>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</si>
  <si>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</si>
  <si>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</si>
  <si>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</si>
  <si>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</si>
  <si>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</si>
  <si>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</si>
  <si>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</si>
  <si>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</si>
  <si>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</si>
  <si>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</si>
  <si>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</si>
  <si>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</si>
  <si>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</si>
  <si>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</si>
  <si>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</si>
  <si>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</si>
  <si>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</si>
  <si>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</si>
  <si>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</si>
  <si>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</si>
  <si>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</si>
  <si>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</si>
  <si>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</si>
  <si>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</si>
  <si>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</si>
  <si>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</si>
  <si>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</si>
  <si>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</si>
  <si>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</si>
  <si>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</si>
  <si>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</si>
  <si>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</si>
  <si>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</si>
  <si>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</si>
  <si>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</si>
  <si>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</si>
  <si>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</si>
  <si>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</si>
  <si>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</si>
  <si>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</si>
  <si>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</si>
  <si>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</si>
  <si>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</si>
  <si>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</si>
  <si>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</si>
  <si>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</si>
  <si>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</si>
  <si>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</si>
  <si>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</si>
  <si>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</si>
  <si>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</si>
  <si>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</si>
  <si>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</si>
  <si>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</si>
  <si>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</si>
  <si>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</si>
  <si>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</si>
  <si>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</si>
  <si>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</si>
  <si>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</si>
  <si>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</si>
  <si>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</si>
  <si>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</si>
  <si>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</si>
  <si>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</si>
  <si>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</si>
  <si>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</si>
  <si>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</si>
  <si>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</si>
  <si>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</si>
  <si>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</si>
  <si>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</si>
  <si>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</si>
  <si>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</si>
  <si>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</si>
  <si>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</si>
  <si>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</si>
  <si>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</si>
  <si>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</si>
  <si>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</si>
  <si>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</si>
  <si>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</si>
  <si>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</si>
  <si>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</si>
  <si>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</si>
  <si>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</si>
  <si>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</si>
  <si>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</si>
  <si>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</si>
  <si>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</si>
  <si>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</si>
  <si>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</si>
  <si>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</si>
  <si>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</si>
  <si>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</si>
  <si>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</si>
  <si>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</si>
  <si>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</si>
  <si>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</si>
  <si>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</si>
  <si>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</si>
  <si>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</si>
  <si>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</si>
  <si>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</si>
  <si>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</si>
  <si>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</si>
  <si>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</si>
  <si>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</si>
  <si>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</si>
  <si>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</si>
  <si>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</si>
  <si>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</si>
  <si>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</si>
  <si>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</si>
  <si>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</si>
  <si>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</si>
  <si>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</si>
  <si>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</si>
  <si>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</si>
  <si>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</si>
  <si>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</si>
  <si>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</si>
  <si>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</si>
  <si>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</si>
  <si>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</si>
  <si>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</si>
  <si>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</si>
  <si>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</si>
  <si>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</si>
  <si>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</si>
  <si>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</si>
  <si>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</si>
  <si>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</si>
  <si>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</si>
  <si>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</si>
  <si>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</si>
  <si>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</si>
  <si>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</si>
  <si>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</si>
  <si>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</si>
  <si>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</si>
  <si>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</si>
  <si>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</si>
  <si>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</si>
  <si>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</si>
  <si>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</si>
  <si>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</si>
  <si>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</si>
  <si>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</si>
  <si>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</si>
  <si>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</si>
  <si>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</si>
  <si>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</si>
  <si>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</si>
  <si>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</si>
  <si>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</si>
  <si>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</si>
  <si>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</si>
  <si>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</si>
  <si>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</si>
  <si>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</si>
  <si>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</si>
  <si>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</si>
  <si>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</si>
  <si>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</si>
  <si>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</si>
  <si>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</si>
  <si>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</si>
  <si>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</si>
  <si>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</si>
  <si>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</si>
  <si>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</si>
  <si>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</si>
  <si>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</si>
  <si>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</si>
  <si>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</si>
  <si>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</si>
  <si>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</si>
  <si>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</si>
  <si>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</si>
  <si>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</si>
  <si>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</si>
  <si>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</si>
  <si>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</si>
  <si>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</si>
  <si>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</si>
  <si>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</si>
  <si>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</si>
  <si>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</si>
  <si>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</si>
  <si>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</si>
  <si>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</si>
  <si>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</si>
  <si>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</si>
  <si>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</si>
  <si>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</si>
  <si>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</si>
  <si>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</si>
  <si>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</si>
  <si>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</si>
  <si>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</si>
  <si>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</si>
  <si>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</si>
  <si>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</si>
  <si>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</si>
  <si>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</si>
  <si>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</si>
  <si>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</si>
  <si>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</si>
  <si>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</si>
  <si>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</si>
  <si>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</si>
  <si>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</si>
  <si>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</si>
  <si>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</si>
  <si>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</si>
  <si>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</si>
  <si>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</si>
  <si>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</si>
  <si>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</si>
  <si>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</si>
  <si>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</si>
  <si>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</si>
  <si>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</si>
  <si>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</si>
  <si>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</si>
  <si>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</si>
  <si>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</si>
  <si>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</si>
  <si>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</si>
  <si>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</si>
  <si>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</si>
  <si>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</si>
  <si>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</si>
  <si>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</si>
  <si>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</si>
  <si>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</si>
  <si>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</si>
  <si>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</si>
  <si>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</si>
  <si>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</si>
  <si>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</si>
  <si>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</si>
  <si>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</si>
  <si>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</si>
  <si>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</si>
  <si>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</si>
  <si>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</si>
  <si>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</si>
  <si>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</si>
  <si>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</si>
  <si>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</si>
  <si>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</si>
  <si>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</si>
  <si>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</si>
  <si>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</si>
  <si>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</si>
  <si>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</si>
  <si>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</si>
  <si>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</si>
  <si>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</si>
  <si>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</si>
  <si>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</si>
  <si>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</si>
  <si>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</si>
  <si>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</si>
  <si>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</si>
  <si>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</si>
  <si>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</si>
  <si>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</si>
  <si>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</si>
  <si>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</si>
  <si>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</si>
  <si>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</si>
  <si>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</si>
  <si>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</si>
  <si>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</si>
  <si>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</si>
  <si>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</si>
  <si>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</si>
  <si>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</si>
  <si>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</si>
  <si>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</si>
  <si>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</si>
  <si>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</si>
  <si>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</si>
  <si>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</si>
  <si>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</si>
  <si>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</si>
  <si>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</si>
  <si>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</si>
  <si>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</si>
  <si>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</si>
  <si>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</si>
  <si>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</si>
  <si>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</si>
  <si>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</si>
  <si>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</si>
  <si>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</si>
  <si>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</si>
  <si>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</si>
  <si>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</si>
  <si>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</si>
  <si>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</si>
  <si>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</si>
  <si>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</si>
  <si>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</si>
  <si>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</si>
  <si>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</si>
  <si>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</si>
  <si>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</si>
  <si>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</si>
  <si>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</si>
  <si>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</si>
  <si>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</si>
  <si>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</si>
  <si>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</si>
  <si>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</si>
  <si>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</si>
  <si>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</si>
  <si>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</si>
  <si>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</si>
  <si>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</si>
  <si>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</si>
  <si>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</si>
  <si>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</si>
  <si>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</si>
  <si>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</si>
  <si>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</si>
  <si>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</si>
  <si>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</si>
  <si>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</si>
  <si>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</si>
  <si>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</si>
  <si>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</si>
  <si>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</si>
  <si>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</si>
  <si>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</si>
  <si>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</si>
  <si>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</si>
  <si>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</si>
  <si>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</si>
  <si>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</si>
  <si>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</si>
  <si>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</si>
  <si>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</si>
  <si>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</si>
  <si>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</si>
  <si>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</si>
  <si>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</si>
  <si>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</si>
  <si>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</si>
  <si>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</si>
  <si>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</si>
  <si>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</si>
  <si>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</si>
  <si>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</si>
  <si>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</si>
  <si>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</si>
  <si>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</si>
  <si>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</si>
  <si>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</si>
  <si>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</si>
  <si>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</si>
  <si>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</si>
  <si>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</si>
  <si>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</si>
  <si>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</si>
  <si>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</si>
  <si>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</si>
  <si>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</si>
  <si>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</si>
  <si>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</si>
  <si>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</si>
  <si>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</si>
  <si>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</si>
  <si>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</si>
  <si>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</si>
  <si>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</si>
  <si>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</si>
  <si>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</si>
  <si>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</si>
  <si>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</si>
  <si>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</si>
  <si>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</si>
  <si>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</si>
  <si>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</si>
  <si>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</si>
  <si>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</si>
  <si>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</si>
  <si>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</si>
  <si>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</si>
  <si>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</si>
  <si>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</si>
  <si>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</si>
  <si>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</si>
  <si>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</si>
  <si>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</si>
  <si>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</si>
  <si>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</si>
  <si>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</si>
  <si>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</si>
  <si>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</si>
  <si>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</si>
  <si>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</si>
  <si>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</si>
  <si>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</si>
  <si>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</si>
  <si>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</si>
  <si>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</si>
  <si>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</si>
  <si>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</si>
  <si>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</si>
  <si>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</si>
  <si>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</si>
  <si>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</si>
  <si>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</si>
  <si>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</si>
  <si>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</si>
  <si>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</si>
  <si>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</si>
  <si>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</si>
  <si>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</si>
  <si>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</si>
  <si>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</si>
  <si>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</si>
  <si>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</si>
  <si>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</si>
  <si>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</si>
  <si>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</si>
  <si>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</si>
  <si>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</si>
  <si>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</si>
  <si>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</si>
  <si>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</si>
  <si>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</si>
  <si>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</si>
  <si>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</si>
  <si>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</si>
  <si>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</si>
  <si>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</si>
  <si>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</si>
  <si>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</si>
  <si>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</si>
  <si>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</si>
  <si>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</si>
  <si>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</si>
  <si>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</si>
  <si>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</si>
  <si>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</si>
  <si>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</si>
  <si>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</si>
  <si>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</si>
  <si>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</si>
  <si>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</si>
  <si>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</si>
  <si>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</si>
  <si>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</si>
  <si>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</si>
  <si>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</si>
  <si>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</si>
  <si>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</si>
  <si>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</si>
  <si>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</si>
  <si>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</si>
  <si>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</si>
  <si>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</si>
  <si>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</si>
  <si>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</si>
  <si>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</si>
  <si>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</si>
  <si>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</si>
  <si>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</si>
  <si>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</si>
  <si>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</si>
  <si>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</si>
  <si>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</si>
  <si>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</si>
  <si>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</si>
  <si>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</si>
  <si>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</si>
  <si>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</si>
  <si>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</si>
  <si>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</si>
  <si>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</si>
  <si>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</si>
  <si>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</si>
  <si>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</si>
  <si>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</si>
  <si>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</si>
  <si>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</si>
  <si>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</si>
  <si>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</si>
  <si>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</si>
  <si>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</si>
  <si>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</si>
  <si>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</si>
  <si>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</si>
  <si>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</si>
  <si>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</si>
  <si>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</si>
  <si>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</si>
  <si>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</si>
  <si>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</si>
  <si>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</si>
  <si>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</si>
  <si>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</si>
  <si>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</si>
  <si>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</si>
  <si>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</si>
  <si>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</si>
  <si>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</si>
  <si>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</si>
  <si>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</si>
  <si>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</si>
  <si>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</si>
  <si>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</si>
  <si>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</si>
  <si>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</si>
  <si>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</si>
  <si>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</si>
  <si>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</si>
  <si>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</si>
  <si>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</si>
  <si>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</si>
  <si>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</si>
  <si>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</si>
  <si>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</si>
  <si>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</si>
  <si>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</si>
  <si>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</si>
  <si>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</si>
  <si>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</si>
  <si>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</si>
  <si>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</si>
  <si>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</si>
  <si>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</si>
  <si>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</si>
  <si>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</si>
  <si>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</si>
  <si>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</si>
  <si>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</si>
  <si>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</si>
  <si>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</si>
  <si>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</si>
  <si>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</si>
  <si>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</si>
  <si>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</si>
  <si>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</si>
  <si>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</si>
  <si>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</si>
  <si>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</si>
  <si>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</si>
  <si>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</si>
  <si>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</si>
  <si>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</si>
  <si>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</si>
  <si>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</si>
  <si>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</si>
  <si>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</si>
  <si>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</si>
  <si>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</si>
  <si>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</si>
  <si>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</si>
  <si>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</si>
  <si>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</si>
  <si>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</si>
  <si>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</si>
  <si>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</si>
  <si>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</si>
  <si>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</si>
  <si>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</si>
  <si>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</si>
  <si>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</si>
  <si>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</si>
  <si>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</si>
  <si>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</si>
  <si>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</si>
  <si>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</si>
  <si>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</si>
  <si>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</si>
  <si>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</si>
  <si>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</si>
  <si>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</si>
  <si>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</si>
  <si>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</si>
  <si>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</si>
  <si>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</si>
  <si>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</si>
  <si>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</si>
  <si>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</si>
  <si>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</si>
  <si>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</si>
  <si>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</si>
  <si>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</si>
  <si>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</si>
  <si>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</si>
  <si>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</si>
  <si>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</si>
  <si>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</si>
  <si>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</si>
  <si>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</si>
  <si>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</si>
  <si>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</si>
  <si>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</si>
  <si>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</si>
  <si>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</si>
  <si>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</si>
  <si>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</si>
  <si>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</si>
  <si>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</si>
  <si>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</si>
  <si>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</si>
  <si>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</si>
  <si>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</si>
  <si>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</si>
  <si>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</si>
  <si>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</si>
  <si>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</si>
  <si>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</si>
  <si>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</si>
  <si>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</si>
  <si>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</si>
  <si>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</si>
  <si>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</si>
  <si>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</si>
  <si>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</si>
  <si>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</si>
  <si>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</si>
  <si>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</si>
  <si>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</si>
  <si>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</si>
  <si>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</si>
  <si>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</si>
  <si>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</si>
  <si>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</si>
  <si>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</si>
  <si>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</si>
  <si>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</si>
  <si>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</si>
  <si>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</si>
  <si>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</si>
  <si>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</si>
  <si>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</si>
  <si>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</si>
  <si>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</si>
  <si>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</si>
  <si>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</si>
  <si>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</si>
  <si>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</si>
  <si>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</si>
  <si>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</si>
  <si>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</si>
  <si>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</si>
  <si>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</si>
  <si>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</si>
  <si>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</si>
  <si>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</si>
  <si>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</si>
  <si>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</si>
  <si>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</si>
  <si>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</si>
  <si>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</si>
  <si>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</si>
  <si>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</si>
  <si>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</si>
  <si>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</si>
  <si>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</si>
  <si>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</si>
  <si>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</si>
  <si>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</si>
  <si>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</si>
  <si>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</si>
  <si>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</si>
  <si>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</si>
  <si>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</si>
  <si>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</si>
  <si>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</si>
  <si>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</si>
  <si>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</si>
  <si>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</si>
  <si>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</si>
  <si>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</si>
  <si>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</si>
  <si>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</si>
  <si>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</si>
  <si>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</si>
  <si>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</si>
  <si>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</si>
  <si>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</si>
  <si>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</si>
  <si>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</si>
  <si>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</si>
  <si>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</si>
  <si>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</si>
  <si>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</si>
  <si>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</si>
  <si>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</si>
  <si>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</si>
  <si>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</si>
  <si>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</si>
  <si>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</si>
  <si>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</si>
  <si>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</si>
  <si>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</si>
  <si>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</si>
  <si>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</si>
  <si>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</si>
  <si>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</si>
  <si>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</si>
  <si>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</si>
  <si>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</si>
  <si>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</si>
  <si>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</si>
  <si>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</si>
  <si>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</si>
  <si>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</si>
  <si>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</si>
  <si>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</si>
  <si>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</si>
  <si>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</si>
  <si>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</si>
  <si>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</si>
  <si>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</si>
  <si>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</si>
  <si>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</si>
  <si>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</si>
  <si>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</si>
  <si>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</si>
  <si>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</si>
  <si>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</si>
  <si>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</si>
  <si>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</si>
  <si>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</si>
  <si>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</si>
  <si>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</si>
  <si>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</si>
  <si>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</si>
  <si>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</si>
  <si>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</si>
  <si>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</si>
  <si>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</si>
  <si>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</si>
  <si>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</si>
  <si>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</si>
  <si>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</si>
  <si>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</si>
  <si>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</si>
  <si>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</si>
  <si>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</si>
  <si>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</si>
  <si>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</si>
  <si>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</si>
  <si>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</si>
  <si>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</si>
  <si>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</si>
  <si>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</si>
  <si>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</si>
  <si>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</si>
  <si>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</si>
  <si>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</si>
  <si>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</si>
  <si>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</si>
  <si>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</si>
  <si>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</si>
  <si>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</si>
  <si>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</si>
  <si>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</si>
  <si>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</si>
  <si>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</si>
  <si>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</si>
  <si>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</si>
  <si>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</si>
  <si>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</si>
  <si>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</si>
  <si>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</si>
  <si>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</si>
  <si>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</si>
  <si>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</si>
  <si>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</si>
  <si>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</si>
  <si>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</si>
  <si>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</si>
  <si>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</si>
  <si>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</si>
  <si>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</si>
  <si>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</si>
  <si>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</si>
  <si>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</si>
  <si>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</si>
  <si>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</si>
  <si>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</si>
  <si>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</si>
  <si>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</si>
  <si>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</si>
  <si>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</si>
  <si>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</si>
  <si>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</si>
  <si>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</si>
  <si>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</si>
  <si>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</si>
  <si>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</si>
  <si>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</si>
  <si>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</si>
  <si>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</si>
  <si>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</si>
  <si>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</si>
  <si>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</si>
  <si>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</si>
  <si>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</si>
  <si>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</si>
  <si>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</si>
  <si>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</si>
  <si>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</si>
  <si>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</si>
  <si>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</si>
  <si>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</si>
  <si>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</si>
  <si>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</si>
  <si>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</si>
  <si>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</si>
  <si>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</si>
  <si>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</si>
  <si>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</si>
  <si>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</si>
  <si>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</si>
  <si>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</si>
  <si>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</si>
  <si>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</si>
  <si>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</si>
  <si>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</si>
  <si>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</si>
  <si>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</si>
  <si>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</si>
  <si>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</si>
  <si>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</si>
  <si>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</si>
  <si>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</si>
  <si>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</si>
  <si>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</si>
  <si>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</si>
  <si>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</si>
  <si>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</si>
  <si>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</si>
  <si>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</si>
  <si>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</si>
  <si>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</si>
  <si>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</si>
  <si>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</si>
  <si>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</si>
  <si>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</si>
  <si>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</si>
  <si>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</si>
  <si>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</si>
  <si>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</si>
  <si>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</si>
  <si>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</si>
  <si>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</si>
  <si>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</si>
  <si>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</si>
  <si>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</si>
  <si>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</si>
  <si>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</si>
  <si>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</si>
  <si>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</si>
  <si>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</si>
  <si>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</si>
  <si>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</si>
  <si>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</si>
  <si>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</si>
  <si>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</si>
  <si>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</si>
  <si>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</si>
  <si>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</si>
  <si>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</si>
  <si>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</si>
  <si>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</si>
  <si>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</si>
  <si>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</si>
  <si>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</si>
  <si>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</si>
  <si>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</si>
  <si>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</si>
  <si>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</si>
  <si>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</si>
  <si>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</si>
  <si>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</si>
  <si>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</si>
  <si>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</si>
  <si>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</si>
  <si>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</si>
  <si>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</si>
  <si>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</si>
  <si>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</si>
  <si>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</si>
  <si>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</si>
  <si>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</si>
  <si>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</si>
  <si>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</si>
  <si>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</si>
  <si>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</si>
  <si>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</si>
  <si>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</si>
  <si>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</si>
  <si>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</si>
  <si>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</si>
  <si>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</si>
  <si>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</si>
  <si>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</si>
  <si>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</si>
  <si>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</si>
  <si>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</si>
  <si>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</si>
  <si>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</si>
  <si>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</si>
  <si>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</si>
  <si>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</si>
  <si>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</si>
  <si>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</si>
  <si>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</si>
  <si>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</si>
  <si>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</si>
  <si>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</si>
  <si>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</si>
  <si>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</si>
  <si>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</si>
  <si>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</si>
  <si>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</si>
  <si>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</si>
  <si>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</si>
  <si>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</si>
  <si>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</si>
  <si>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</si>
  <si>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</si>
  <si>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</si>
  <si>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</si>
  <si>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</si>
  <si>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</si>
  <si>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</si>
  <si>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</si>
  <si>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</si>
  <si>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</si>
  <si>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</si>
  <si>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</si>
  <si>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</si>
  <si>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</si>
  <si>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</si>
  <si>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</si>
  <si>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</si>
  <si>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</si>
  <si>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</si>
  <si>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</si>
  <si>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</si>
  <si>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</si>
  <si>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</si>
  <si>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</si>
  <si>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</si>
  <si>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</si>
  <si>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</si>
  <si>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</si>
  <si>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</si>
  <si>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</si>
  <si>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</si>
  <si>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</si>
  <si>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</si>
  <si>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</si>
  <si>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</si>
  <si>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</si>
  <si>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</si>
  <si>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</si>
  <si>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</si>
  <si>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</si>
  <si>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</si>
  <si>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</si>
  <si>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</si>
  <si>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</si>
  <si>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</si>
  <si>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</si>
  <si>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</si>
  <si>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</si>
  <si>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</si>
  <si>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</si>
  <si>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</si>
  <si>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</si>
  <si>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</si>
  <si>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</si>
  <si>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</si>
  <si>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</si>
  <si>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</si>
  <si>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</si>
  <si>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</si>
  <si>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</si>
  <si>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</si>
  <si>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</si>
  <si>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</si>
  <si>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</si>
  <si>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</si>
  <si>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</si>
  <si>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</si>
  <si>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</si>
  <si>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</si>
  <si>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</si>
  <si>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</si>
  <si>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</si>
  <si>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</si>
  <si>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</si>
  <si>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</si>
  <si>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</si>
  <si>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</si>
  <si>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</si>
  <si>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</si>
  <si>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</si>
  <si>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</si>
  <si>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</si>
  <si>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</si>
  <si>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</si>
  <si>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</si>
  <si>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</si>
  <si>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</si>
  <si>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</si>
  <si>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</si>
  <si>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</si>
  <si>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</si>
  <si>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</si>
  <si>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</si>
  <si>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</si>
  <si>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</si>
  <si>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</si>
  <si>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</si>
  <si>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</si>
  <si>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</si>
  <si>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</si>
  <si>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</si>
  <si>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</si>
  <si>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</si>
  <si>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</si>
  <si>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</si>
  <si>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</si>
  <si>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</si>
  <si>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</si>
  <si>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</si>
  <si>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</si>
  <si>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</si>
  <si>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</si>
  <si>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</si>
  <si>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</si>
  <si>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</si>
  <si>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</si>
  <si>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</si>
  <si>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</si>
  <si>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</si>
  <si>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</si>
  <si>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</si>
  <si>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</si>
  <si>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</si>
  <si>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</si>
  <si>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</si>
  <si>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</si>
  <si>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</si>
  <si>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</si>
  <si>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</si>
  <si>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</si>
  <si>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</si>
  <si>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</si>
  <si>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</si>
  <si>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</si>
  <si>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</si>
  <si>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</si>
  <si>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</si>
  <si>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</si>
  <si>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</si>
  <si>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</si>
  <si>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</si>
  <si>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</si>
  <si>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</si>
  <si>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</si>
  <si>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</si>
  <si>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</si>
  <si>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</si>
  <si>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</si>
  <si>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</si>
  <si>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</si>
  <si>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</si>
  <si>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</si>
  <si>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</si>
  <si>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</si>
  <si>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</si>
  <si>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</si>
  <si>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</si>
  <si>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</si>
  <si>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</si>
  <si>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</si>
  <si>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</si>
  <si>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</si>
  <si>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</si>
  <si>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</si>
  <si>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</si>
  <si>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</si>
  <si>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</si>
  <si>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</si>
  <si>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</si>
  <si>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</si>
  <si>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</si>
  <si>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</si>
  <si>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</si>
  <si>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</si>
  <si>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</si>
  <si>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</si>
  <si>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</si>
  <si>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</si>
  <si>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</si>
  <si>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</si>
  <si>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</si>
  <si>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</si>
  <si>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</si>
  <si>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</si>
  <si>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</si>
  <si>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</si>
  <si>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</si>
  <si>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</si>
  <si>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</si>
  <si>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</si>
  <si>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</si>
  <si>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</si>
  <si>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</si>
  <si>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</si>
  <si>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</si>
  <si>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</si>
  <si>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</si>
  <si>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</si>
  <si>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</si>
  <si>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</si>
  <si>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</si>
  <si>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</si>
  <si>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</si>
  <si>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</si>
  <si>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</si>
  <si>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</si>
  <si>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</si>
  <si>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</si>
  <si>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</si>
  <si>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</si>
  <si>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</si>
  <si>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</si>
  <si>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</si>
  <si>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</si>
  <si>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</si>
  <si>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</si>
  <si>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</si>
  <si>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</si>
  <si>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</si>
  <si>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</si>
  <si>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</si>
  <si>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</si>
  <si>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</si>
  <si>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</si>
  <si>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</si>
  <si>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</si>
  <si>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</si>
  <si>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</si>
  <si>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</si>
  <si>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</si>
  <si>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</si>
  <si>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</si>
  <si>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</si>
  <si>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</si>
  <si>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</si>
  <si>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</si>
  <si>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</si>
  <si>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</si>
  <si>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</si>
  <si>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</si>
  <si>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</si>
  <si>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</si>
  <si>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</si>
  <si>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</si>
  <si>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</si>
  <si>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</si>
  <si>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</si>
  <si>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</si>
  <si>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</si>
  <si>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</si>
  <si>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</si>
  <si>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</si>
  <si>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</si>
  <si>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</si>
  <si>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</si>
  <si>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</si>
  <si>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</si>
  <si>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</si>
  <si>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</si>
  <si>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</si>
  <si>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</si>
  <si>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</si>
  <si>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</si>
  <si>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</si>
  <si>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</si>
  <si>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</si>
  <si>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</si>
  <si>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</si>
  <si>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</si>
  <si>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</si>
  <si>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</si>
  <si>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</si>
  <si>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</si>
  <si>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</si>
  <si>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</si>
  <si>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</si>
  <si>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</si>
  <si>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</si>
  <si>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</si>
  <si>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</si>
  <si>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</si>
  <si>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</si>
  <si>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</si>
  <si>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</si>
  <si>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</si>
  <si>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</si>
  <si>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</si>
  <si>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</si>
  <si>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</si>
  <si>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</si>
  <si>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</si>
  <si>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</si>
  <si>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</si>
  <si>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</si>
  <si>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</si>
  <si>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</si>
  <si>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</si>
  <si>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</si>
  <si>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</si>
  <si>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</si>
  <si>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</si>
  <si>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</si>
  <si>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</si>
  <si>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</si>
  <si>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</si>
  <si>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</si>
  <si>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</si>
  <si>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</si>
  <si>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</si>
  <si>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</si>
  <si>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</si>
  <si>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</si>
  <si>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</si>
  <si>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</si>
  <si>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</si>
  <si>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</si>
  <si>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</si>
  <si>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</si>
  <si>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</si>
  <si>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</si>
  <si>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</si>
  <si>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</si>
  <si>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</si>
  <si>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</si>
  <si>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</si>
  <si>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</si>
  <si>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</si>
  <si>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</si>
  <si>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</si>
  <si>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</si>
  <si>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</si>
  <si>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</si>
  <si>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</si>
  <si>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</si>
  <si>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</si>
  <si>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</si>
  <si>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</si>
  <si>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</si>
  <si>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</si>
  <si>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</si>
  <si>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</si>
  <si>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</si>
  <si>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</si>
  <si>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</si>
  <si>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</si>
  <si>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</si>
  <si>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</si>
  <si>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</si>
  <si>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</si>
  <si>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</si>
  <si>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</si>
  <si>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</si>
  <si>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</si>
  <si>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</si>
  <si>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</si>
  <si>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</si>
  <si>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</si>
  <si>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</si>
  <si>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</si>
  <si>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</si>
  <si>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</si>
  <si>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</si>
  <si>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</si>
  <si>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</si>
  <si>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</si>
  <si>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</si>
  <si>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</si>
  <si>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</si>
  <si>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</si>
  <si>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</si>
  <si>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</si>
  <si>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</si>
  <si>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</si>
  <si>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</si>
  <si>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</si>
  <si>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</si>
  <si>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</si>
  <si>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</si>
  <si>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</si>
  <si>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</si>
  <si>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</si>
  <si>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</si>
  <si>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</si>
  <si>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</si>
  <si>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</si>
  <si>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</si>
  <si>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</si>
  <si>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</si>
  <si>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</si>
  <si>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</si>
  <si>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</si>
  <si>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</si>
  <si>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</si>
  <si>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</si>
  <si>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</si>
  <si>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</si>
  <si>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</si>
  <si>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</si>
  <si>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</si>
  <si>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</si>
  <si>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</si>
  <si>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</si>
  <si>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</si>
  <si>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</si>
  <si>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</si>
  <si>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</si>
  <si>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</si>
  <si>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</si>
  <si>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</si>
  <si>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</si>
  <si>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</si>
  <si>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</si>
  <si>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</si>
  <si>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</si>
  <si>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</si>
  <si>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</si>
  <si>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</si>
  <si>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</si>
  <si>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</si>
  <si>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</si>
  <si>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</si>
  <si>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</si>
  <si>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</si>
  <si>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</si>
  <si>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</si>
  <si>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</si>
  <si>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</si>
  <si>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</si>
  <si>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</si>
  <si>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</si>
  <si>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</si>
  <si>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</si>
  <si>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</si>
  <si>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</si>
  <si>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</si>
  <si>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</si>
  <si>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</si>
  <si>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</si>
  <si>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</si>
  <si>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</si>
  <si>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</si>
  <si>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</si>
  <si>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</si>
  <si>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</si>
  <si>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</si>
  <si>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</si>
  <si>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</si>
  <si>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</si>
  <si>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</si>
  <si>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</si>
  <si>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</si>
  <si>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</si>
  <si>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</si>
  <si>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</si>
  <si>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</si>
  <si>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</si>
  <si>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</si>
  <si>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</si>
  <si>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</si>
  <si>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</si>
  <si>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</si>
  <si>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</si>
  <si>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</si>
  <si>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</si>
  <si>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</si>
  <si>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</si>
  <si>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</si>
  <si>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</si>
  <si>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</si>
  <si>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</si>
  <si>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</si>
  <si>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</si>
  <si>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</si>
  <si>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</si>
  <si>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</si>
  <si>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</si>
  <si>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</si>
  <si>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</si>
  <si>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</si>
  <si>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</si>
  <si>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</si>
  <si>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</si>
  <si>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</si>
  <si>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</si>
  <si>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</si>
  <si>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</si>
  <si>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</si>
  <si>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</si>
  <si>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</si>
  <si>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</si>
  <si>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</si>
  <si>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</si>
  <si>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</si>
  <si>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</si>
  <si>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</si>
  <si>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</si>
  <si>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</si>
  <si>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</si>
  <si>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</si>
  <si>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</si>
  <si>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</si>
  <si>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</si>
  <si>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</si>
  <si>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</si>
  <si>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</si>
  <si>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</si>
  <si>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</si>
  <si>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</si>
  <si>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</si>
  <si>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</si>
  <si>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</si>
  <si>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</si>
  <si>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</si>
  <si>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</si>
  <si>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</si>
  <si>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</si>
  <si>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</si>
  <si>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</si>
  <si>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</si>
  <si>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</si>
  <si>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</si>
  <si>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</si>
  <si>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</si>
  <si>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</si>
  <si>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</si>
  <si>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</si>
  <si>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</si>
  <si>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</si>
  <si>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</si>
  <si>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</si>
  <si>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</si>
  <si>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</si>
  <si>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</si>
  <si>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</si>
  <si>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</si>
  <si>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</si>
  <si>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</si>
  <si>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</si>
  <si>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</si>
  <si>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</si>
  <si>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</si>
  <si>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</si>
  <si>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</si>
  <si>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</si>
  <si>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</si>
  <si>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</si>
  <si>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</si>
  <si>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</si>
  <si>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</si>
  <si>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</si>
  <si>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</si>
  <si>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</si>
  <si>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</si>
  <si>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</si>
  <si>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</si>
  <si>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</si>
  <si>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</si>
  <si>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</si>
  <si>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</si>
  <si>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</si>
  <si>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</si>
  <si>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</si>
  <si>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</si>
  <si>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</si>
  <si>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</si>
  <si>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</si>
  <si>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</si>
  <si>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</si>
  <si>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</si>
  <si>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</si>
  <si>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</si>
  <si>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</si>
  <si>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</si>
  <si>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</si>
  <si>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</si>
  <si>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</si>
  <si>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</si>
  <si>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</si>
  <si>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</si>
  <si>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</si>
  <si>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</si>
  <si>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</si>
  <si>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</si>
  <si>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</si>
  <si>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</si>
  <si>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</si>
  <si>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</si>
  <si>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</si>
  <si>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</si>
  <si>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</si>
  <si>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</si>
  <si>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</si>
  <si>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</si>
  <si>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</si>
  <si>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</si>
  <si>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</si>
  <si>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</si>
  <si>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</si>
  <si>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</si>
  <si>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</si>
  <si>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</si>
  <si>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</si>
  <si>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</si>
  <si>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</si>
  <si>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</si>
  <si>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</si>
  <si>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</si>
  <si>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</si>
  <si>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</si>
  <si>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</si>
  <si>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</si>
  <si>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</si>
  <si>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</si>
  <si>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</si>
  <si>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</si>
  <si>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</si>
  <si>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</si>
  <si>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</si>
  <si>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</si>
  <si>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</si>
  <si>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</si>
  <si>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</si>
  <si>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</si>
  <si>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</si>
  <si>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</si>
  <si>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</si>
  <si>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</si>
  <si>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</si>
  <si>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</si>
  <si>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</si>
  <si>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</si>
  <si>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</si>
  <si>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</si>
  <si>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</si>
  <si>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</si>
  <si>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</si>
  <si>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</si>
  <si>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</si>
  <si>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</si>
  <si>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</si>
  <si>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</si>
  <si>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</si>
  <si>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</si>
  <si>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</si>
  <si>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</si>
  <si>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</si>
  <si>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</si>
  <si>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</si>
  <si>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</si>
  <si>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</si>
  <si>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</si>
  <si>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</si>
  <si>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</si>
  <si>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</si>
  <si>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</si>
  <si>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</si>
  <si>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</si>
  <si>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</si>
  <si>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</si>
  <si>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</si>
  <si>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</si>
  <si>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</si>
  <si>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</si>
  <si>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</si>
  <si>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</si>
  <si>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</si>
  <si>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</si>
  <si>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</si>
  <si>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</si>
  <si>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</si>
  <si>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</si>
  <si>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</si>
  <si>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</si>
  <si>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</si>
  <si>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</si>
  <si>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</si>
  <si>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</si>
  <si>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</si>
  <si>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</si>
  <si>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</si>
  <si>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</si>
  <si>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</si>
  <si>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</si>
  <si>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</si>
  <si>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</si>
  <si>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</si>
  <si>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</si>
  <si>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</si>
  <si>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</si>
  <si>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</si>
  <si>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</si>
  <si>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</si>
  <si>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</si>
  <si>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</si>
  <si>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</si>
  <si>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</si>
  <si>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</si>
  <si>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</si>
  <si>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</si>
  <si>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</si>
  <si>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</si>
  <si>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</si>
  <si>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</si>
  <si>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</si>
  <si>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</si>
  <si>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</si>
  <si>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</si>
  <si>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</si>
  <si>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</si>
  <si>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</si>
  <si>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</si>
  <si>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</si>
  <si>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</si>
  <si>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</si>
  <si>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</si>
  <si>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</si>
  <si>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</si>
  <si>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</si>
  <si>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</si>
  <si>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</si>
  <si>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</si>
  <si>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</si>
  <si>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</si>
  <si>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</si>
  <si>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</si>
  <si>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</si>
  <si>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</si>
  <si>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</si>
  <si>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</si>
  <si>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</si>
  <si>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</si>
  <si>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</si>
  <si>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</si>
  <si>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</si>
  <si>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</si>
  <si>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</si>
  <si>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</si>
  <si>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</si>
  <si>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</si>
  <si>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</si>
  <si>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</si>
  <si>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</si>
  <si>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</si>
  <si>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</si>
  <si>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</si>
  <si>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</si>
  <si>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</si>
  <si>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</si>
  <si>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</si>
  <si>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</si>
  <si>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</si>
  <si>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</si>
  <si>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</si>
  <si>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</si>
  <si>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</si>
  <si>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</si>
  <si>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</si>
  <si>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</si>
  <si>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</si>
  <si>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</si>
  <si>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</si>
  <si>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</si>
  <si>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</si>
  <si>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</si>
  <si>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</si>
  <si>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</si>
  <si>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</si>
  <si>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</si>
  <si>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</si>
  <si>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</si>
  <si>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</si>
  <si>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</si>
  <si>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</si>
  <si>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</si>
  <si>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</si>
  <si>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</si>
  <si>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</si>
  <si>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</si>
  <si>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</si>
  <si>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</si>
  <si>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</si>
  <si>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</si>
  <si>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</si>
  <si>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</si>
  <si>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</si>
  <si>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</si>
  <si>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</si>
  <si>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</si>
  <si>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</si>
  <si>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</si>
  <si>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</si>
  <si>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</si>
  <si>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</si>
  <si>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</si>
  <si>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</si>
  <si>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</si>
  <si>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</si>
  <si>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</si>
  <si>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</si>
  <si>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</si>
  <si>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</si>
  <si>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</si>
  <si>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</si>
  <si>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</si>
  <si>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</si>
  <si>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</si>
  <si>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</si>
  <si>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</si>
  <si>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</si>
  <si>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</si>
  <si>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</si>
  <si>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</si>
  <si>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</si>
  <si>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</si>
  <si>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</si>
  <si>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</si>
  <si>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</si>
  <si>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</si>
  <si>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</si>
  <si>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</si>
  <si>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</si>
  <si>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</si>
  <si>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</si>
  <si>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</si>
  <si>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</si>
  <si>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</si>
  <si>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</si>
  <si>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</si>
  <si>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</si>
  <si>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</si>
  <si>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</si>
  <si>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</si>
  <si>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</si>
  <si>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</si>
  <si>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</si>
  <si>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</si>
  <si>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</si>
  <si>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</si>
  <si>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</si>
  <si>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</si>
  <si>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</si>
  <si>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</si>
  <si>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</si>
  <si>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</si>
  <si>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</si>
  <si>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</si>
  <si>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</si>
  <si>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</si>
  <si>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</si>
  <si>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</si>
  <si>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</si>
  <si>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</si>
  <si>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</si>
  <si>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</si>
  <si>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</si>
  <si>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</si>
  <si>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</si>
  <si>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</si>
  <si>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</si>
  <si>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</si>
  <si>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</si>
  <si>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</si>
  <si>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</si>
  <si>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</si>
  <si>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</si>
  <si>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</si>
  <si>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</si>
  <si>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</si>
  <si>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</si>
  <si>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</si>
  <si>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</si>
  <si>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</si>
  <si>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</si>
  <si>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</si>
  <si>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</si>
  <si>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</si>
  <si>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</si>
  <si>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</si>
  <si>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</si>
  <si>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</si>
  <si>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</si>
  <si>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</si>
  <si>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</si>
  <si>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</si>
  <si>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</si>
  <si>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</si>
  <si>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</si>
  <si>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</si>
  <si>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</si>
  <si>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</si>
  <si>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</si>
  <si>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</si>
  <si>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</si>
  <si>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</si>
  <si>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</si>
  <si>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</si>
  <si>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</si>
  <si>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</si>
  <si>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</si>
  <si>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</si>
  <si>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</si>
  <si>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</si>
  <si>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</si>
  <si>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</si>
  <si>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</si>
  <si>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</si>
  <si>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</si>
  <si>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</si>
  <si>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</si>
  <si>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</si>
  <si>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</si>
  <si>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</si>
  <si>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</si>
  <si>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</si>
  <si>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</si>
  <si>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</si>
  <si>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</si>
  <si>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</si>
  <si>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</si>
  <si>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</si>
  <si>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</si>
  <si>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</si>
  <si>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</si>
  <si>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</si>
  <si>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</si>
  <si>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</si>
  <si>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</si>
  <si>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</si>
  <si>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</si>
  <si>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</si>
  <si>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</si>
  <si>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</si>
  <si>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</si>
  <si>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</si>
  <si>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</si>
  <si>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</si>
  <si>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</si>
  <si>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</si>
  <si>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</si>
  <si>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</si>
  <si>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</si>
  <si>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</si>
  <si>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</si>
  <si>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</si>
  <si>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</si>
  <si>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</si>
  <si>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</si>
  <si>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</si>
  <si>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</si>
  <si>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</si>
  <si>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</si>
  <si>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</si>
  <si>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</si>
  <si>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</si>
  <si>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</si>
  <si>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</si>
  <si>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</si>
  <si>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</si>
  <si>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</si>
  <si>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</si>
  <si>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</si>
  <si>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</si>
  <si>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</si>
  <si>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</si>
  <si>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</si>
  <si>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</si>
  <si>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</si>
  <si>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</si>
  <si>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</si>
  <si>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</si>
  <si>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</si>
  <si>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</si>
  <si>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</si>
  <si>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</si>
  <si>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</si>
  <si>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</si>
  <si>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</si>
  <si>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</si>
  <si>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</si>
  <si>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</si>
  <si>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</si>
  <si>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</si>
  <si>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</si>
  <si>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</si>
  <si>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</si>
  <si>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</si>
  <si>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</si>
  <si>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</si>
  <si>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</si>
  <si>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</si>
  <si>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</si>
  <si>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</si>
  <si>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</si>
  <si>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</si>
  <si>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</si>
  <si>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</si>
  <si>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</si>
  <si>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</si>
  <si>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</si>
  <si>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</si>
  <si>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</si>
  <si>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</si>
  <si>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</si>
  <si>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</si>
  <si>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</si>
  <si>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</si>
  <si>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</si>
  <si>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</si>
  <si>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</si>
  <si>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</si>
  <si>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</si>
  <si>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</si>
  <si>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</si>
  <si>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</si>
  <si>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</si>
  <si>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</si>
  <si>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</si>
  <si>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</si>
  <si>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</si>
  <si>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</si>
  <si>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</si>
  <si>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</si>
  <si>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</si>
  <si>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</si>
  <si>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</si>
  <si>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</si>
  <si>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</si>
  <si>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</si>
  <si>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</si>
  <si>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</si>
  <si>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</si>
  <si>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</si>
  <si>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</si>
  <si>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</si>
  <si>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</si>
  <si>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</si>
  <si>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</si>
  <si>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</si>
  <si>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</si>
  <si>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</si>
  <si>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</si>
  <si>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</si>
  <si>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</si>
  <si>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</si>
  <si>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</si>
  <si>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</si>
  <si>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</si>
  <si>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</si>
  <si>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</si>
  <si>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</si>
  <si>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</si>
  <si>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</si>
  <si>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</si>
  <si>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</si>
  <si>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</si>
  <si>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</si>
  <si>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</si>
  <si>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</si>
  <si>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</si>
  <si>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</si>
  <si>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</si>
  <si>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</si>
  <si>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</si>
  <si>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</si>
  <si>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</si>
  <si>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</si>
  <si>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</si>
  <si>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</si>
  <si>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</si>
  <si>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</si>
  <si>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</si>
  <si>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</si>
  <si>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</si>
  <si>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</si>
  <si>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</si>
  <si>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</si>
  <si>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</si>
  <si>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</si>
  <si>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</si>
  <si>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</si>
  <si>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</si>
  <si>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</si>
  <si>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</si>
  <si>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</si>
  <si>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</si>
  <si>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</si>
  <si>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</si>
  <si>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</si>
  <si>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</si>
  <si>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</si>
  <si>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</si>
  <si>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</si>
  <si>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</si>
  <si>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</si>
  <si>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</si>
  <si>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</si>
  <si>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</si>
  <si>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</si>
  <si>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</si>
  <si>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</si>
  <si>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</si>
  <si>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</si>
  <si>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</si>
  <si>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</si>
  <si>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</si>
  <si>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</si>
  <si>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</si>
  <si>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</si>
  <si>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</si>
  <si>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</si>
  <si>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</si>
  <si>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</si>
  <si>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</si>
  <si>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</si>
  <si>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</si>
  <si>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</si>
  <si>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</si>
  <si>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</si>
  <si>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</si>
  <si>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</si>
  <si>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</si>
  <si>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</si>
  <si>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</si>
  <si>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</si>
  <si>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</si>
  <si>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</si>
  <si>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</si>
  <si>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</si>
  <si>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</si>
  <si>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</si>
  <si>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</si>
  <si>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</si>
  <si>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</si>
  <si>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</si>
  <si>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</si>
  <si>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</si>
  <si>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</si>
  <si>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</si>
  <si>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</si>
  <si>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</si>
  <si>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</si>
  <si>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</si>
  <si>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</si>
  <si>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</si>
  <si>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</si>
  <si>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</si>
  <si>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</si>
  <si>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</si>
  <si>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</si>
  <si>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</si>
  <si>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</si>
  <si>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</si>
  <si>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</si>
  <si>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</si>
  <si>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</si>
  <si>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</si>
  <si>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</si>
  <si>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</si>
  <si>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</si>
  <si>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</si>
  <si>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</si>
  <si>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</si>
  <si>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</si>
  <si>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</si>
  <si>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</si>
  <si>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</si>
  <si>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</si>
  <si>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</si>
  <si>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</si>
  <si>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</si>
  <si>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</si>
  <si>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</si>
  <si>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</si>
  <si>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</si>
  <si>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</si>
  <si>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</si>
  <si>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</si>
  <si>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</si>
  <si>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</si>
  <si>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</si>
  <si>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</si>
  <si>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</si>
  <si>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</si>
  <si>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</si>
  <si>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</si>
  <si>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</si>
  <si>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</si>
  <si>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</si>
  <si>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</si>
  <si>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</si>
  <si>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</si>
  <si>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</si>
  <si>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</si>
  <si>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</si>
  <si>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</si>
  <si>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</si>
  <si>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</si>
  <si>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</si>
  <si>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</si>
  <si>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</si>
  <si>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</si>
  <si>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</si>
  <si>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</si>
  <si>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</si>
  <si>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</si>
  <si>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</si>
  <si>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</si>
  <si>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</si>
  <si>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</si>
  <si>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</si>
  <si>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</si>
  <si>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</si>
  <si>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</si>
  <si>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</si>
  <si>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</si>
  <si>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</si>
  <si>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</si>
  <si>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</si>
  <si>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</si>
  <si>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</si>
  <si>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</si>
  <si>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</si>
  <si>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</si>
  <si>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</si>
  <si>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</si>
  <si>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</si>
  <si>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</si>
  <si>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</si>
  <si>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</si>
  <si>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</si>
  <si>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</si>
  <si>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</si>
  <si>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</si>
  <si>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</si>
  <si>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</si>
  <si>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</si>
  <si>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</si>
  <si>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</si>
  <si>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</si>
  <si>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</si>
  <si>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</si>
  <si>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</si>
  <si>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</si>
  <si>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</si>
  <si>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</si>
  <si>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</si>
  <si>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</si>
  <si>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</si>
  <si>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</si>
  <si>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</si>
  <si>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</si>
  <si>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</si>
  <si>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</si>
  <si>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</si>
  <si>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</si>
  <si>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</si>
  <si>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</si>
  <si>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</si>
  <si>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</si>
  <si>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</si>
  <si>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</si>
  <si>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</si>
  <si>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</si>
  <si>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</si>
  <si>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</si>
  <si>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</si>
  <si>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</si>
  <si>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</si>
  <si>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</si>
  <si>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</si>
  <si>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</si>
  <si>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</si>
  <si>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</si>
  <si>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</si>
  <si>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</si>
  <si>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</si>
  <si>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</si>
  <si>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</si>
  <si>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</si>
  <si>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</si>
  <si>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</si>
  <si>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</si>
  <si>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</si>
  <si>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</si>
  <si>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</si>
  <si>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</si>
  <si>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</si>
  <si>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</si>
  <si>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</si>
  <si>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</si>
  <si>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</si>
  <si>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</si>
  <si>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</si>
  <si>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</si>
  <si>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</si>
  <si>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</si>
  <si>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</si>
  <si>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</si>
  <si>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</si>
  <si>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</si>
  <si>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</si>
  <si>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</si>
  <si>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</si>
  <si>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</si>
  <si>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</si>
  <si>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</si>
  <si>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</si>
  <si>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</si>
  <si>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</si>
  <si>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</si>
  <si>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</si>
  <si>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</si>
  <si>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</si>
  <si>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</si>
  <si>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</si>
  <si>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</si>
  <si>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</si>
  <si>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</si>
  <si>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</si>
  <si>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</si>
  <si>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</si>
  <si>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</si>
  <si>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</si>
  <si>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</si>
  <si>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</si>
  <si>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</si>
  <si>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</si>
  <si>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</si>
  <si>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</si>
  <si>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</si>
  <si>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</si>
  <si>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</si>
  <si>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</si>
  <si>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</si>
  <si>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</si>
  <si>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</si>
  <si>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</si>
  <si>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</si>
  <si>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</si>
  <si>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</si>
  <si>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</si>
  <si>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</si>
  <si>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</si>
  <si>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</si>
  <si>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</si>
  <si>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</si>
  <si>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</si>
  <si>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</si>
  <si>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</si>
  <si>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</si>
  <si>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</si>
  <si>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</si>
  <si>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</si>
  <si>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</si>
  <si>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</si>
  <si>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</si>
  <si>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</si>
  <si>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</si>
  <si>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</si>
  <si>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</si>
  <si>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</si>
  <si>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</si>
  <si>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</si>
  <si>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</si>
  <si>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</si>
  <si>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</si>
  <si>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</si>
  <si>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</si>
  <si>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</si>
  <si>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</si>
  <si>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</si>
  <si>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</si>
  <si>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</si>
  <si>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</si>
  <si>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</si>
  <si>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</si>
  <si>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</si>
  <si>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</si>
  <si>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</si>
  <si>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</si>
  <si>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</si>
  <si>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</si>
  <si>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</si>
  <si>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</si>
  <si>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</si>
  <si>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</si>
  <si>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</si>
  <si>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</si>
  <si>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</si>
  <si>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</si>
  <si>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</si>
  <si>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</si>
  <si>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</si>
  <si>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</si>
  <si>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</si>
  <si>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</si>
  <si>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</si>
  <si>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</si>
  <si>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</si>
  <si>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</si>
  <si>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</si>
  <si>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</si>
  <si>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</si>
  <si>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</si>
  <si>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</si>
  <si>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</si>
  <si>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</si>
  <si>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</si>
  <si>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</si>
  <si>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</si>
  <si>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</si>
  <si>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</si>
  <si>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</si>
  <si>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</si>
  <si>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</si>
  <si>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</si>
  <si>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</si>
  <si>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</si>
  <si>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</si>
  <si>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</si>
  <si>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</si>
  <si>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</si>
  <si>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</si>
  <si>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</si>
  <si>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</si>
  <si>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</si>
  <si>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</si>
  <si>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</si>
  <si>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</si>
  <si>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</si>
  <si>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</si>
  <si>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</si>
  <si>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</si>
  <si>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</si>
  <si>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</si>
  <si>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</si>
  <si>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</si>
  <si>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</si>
  <si>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</si>
  <si>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</si>
  <si>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</si>
  <si>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</si>
  <si>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</si>
  <si>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</si>
  <si>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</si>
  <si>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</si>
  <si>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</si>
  <si>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</si>
  <si>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</si>
  <si>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</si>
  <si>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</si>
  <si>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</si>
  <si>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</si>
  <si>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</si>
  <si>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</si>
  <si>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</si>
  <si>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</si>
  <si>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</si>
  <si>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</si>
  <si>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</si>
  <si>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</si>
  <si>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</si>
  <si>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</si>
  <si>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</si>
  <si>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</si>
  <si>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</si>
  <si>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</si>
  <si>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</si>
  <si>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</si>
  <si>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</si>
  <si>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</si>
  <si>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</si>
  <si>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</si>
  <si>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</si>
  <si>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</si>
  <si>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</si>
  <si>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</si>
  <si>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</si>
  <si>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</si>
  <si>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</si>
  <si>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</si>
  <si>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</si>
  <si>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</si>
  <si>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</si>
  <si>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</si>
  <si>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</si>
  <si>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</si>
  <si>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</si>
  <si>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</si>
  <si>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</si>
  <si>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</si>
  <si>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</si>
  <si>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</si>
  <si>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</si>
  <si>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</si>
  <si>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</si>
  <si>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</si>
  <si>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</si>
  <si>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</si>
  <si>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</si>
  <si>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</si>
  <si>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</si>
  <si>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</si>
  <si>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</si>
  <si>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</si>
  <si>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</si>
  <si>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</si>
  <si>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</si>
  <si>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</si>
  <si>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</si>
  <si>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</si>
  <si>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</si>
  <si>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</si>
  <si>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</si>
  <si>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</si>
  <si>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</si>
  <si>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</si>
  <si>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</si>
  <si>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</si>
  <si>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</si>
  <si>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</si>
  <si>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</si>
  <si>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</si>
  <si>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</si>
  <si>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</si>
  <si>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</si>
  <si>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</si>
  <si>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</si>
  <si>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</si>
  <si>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</si>
  <si>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</si>
  <si>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</si>
  <si>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</si>
  <si>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</si>
  <si>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</si>
  <si>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</si>
  <si>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</si>
  <si>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</si>
  <si>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</si>
  <si>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</si>
  <si>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</si>
  <si>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</si>
  <si>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</si>
  <si>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</si>
  <si>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</si>
  <si>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</si>
  <si>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</si>
  <si>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</si>
  <si>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</si>
  <si>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</si>
  <si>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</si>
  <si>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</si>
  <si>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</si>
  <si>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</si>
  <si>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</si>
  <si>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</si>
  <si>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</si>
  <si>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</si>
  <si>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</si>
  <si>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</si>
  <si>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</si>
  <si>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</si>
  <si>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</si>
  <si>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</si>
  <si>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</si>
  <si>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</si>
  <si>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</si>
  <si>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</si>
  <si>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</si>
  <si>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</si>
  <si>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</si>
  <si>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</si>
  <si>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</si>
  <si>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</si>
  <si>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</si>
  <si>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</si>
  <si>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</si>
  <si>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</si>
  <si>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</si>
  <si>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</si>
  <si>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</si>
  <si>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</si>
  <si>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</si>
  <si>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</si>
  <si>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</si>
  <si>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</si>
  <si>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</si>
  <si>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</si>
  <si>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</si>
  <si>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</si>
  <si>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</si>
  <si>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</si>
  <si>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</si>
  <si>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</si>
  <si>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</si>
  <si>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</si>
  <si>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</si>
  <si>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</si>
  <si>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</si>
  <si>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</si>
  <si>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</si>
  <si>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</si>
  <si>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</si>
  <si>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</si>
  <si>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</si>
  <si>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</si>
  <si>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</si>
  <si>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</si>
  <si>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</si>
  <si>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</si>
  <si>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</si>
  <si>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</si>
  <si>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</si>
  <si>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</si>
  <si>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</si>
  <si>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</si>
  <si>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</si>
  <si>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</si>
  <si>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</si>
  <si>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</si>
  <si>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</si>
  <si>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</si>
  <si>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</si>
  <si>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</si>
  <si>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</si>
  <si>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</si>
  <si>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</si>
  <si>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</si>
  <si>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</si>
  <si>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</si>
  <si>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</si>
  <si>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</si>
  <si>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</si>
  <si>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</si>
  <si>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</si>
  <si>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</si>
  <si>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</si>
  <si>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</si>
  <si>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</si>
  <si>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</si>
  <si>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</si>
  <si>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</si>
  <si>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</si>
  <si>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</si>
  <si>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</si>
  <si>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</si>
  <si>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</si>
  <si>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</si>
  <si>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</si>
  <si>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</si>
  <si>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</si>
  <si>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</si>
  <si>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</si>
  <si>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</si>
  <si>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</si>
  <si>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</si>
  <si>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</si>
  <si>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</si>
  <si>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</si>
  <si>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</si>
  <si>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</si>
  <si>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</si>
  <si>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</si>
  <si>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</si>
  <si>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</si>
  <si>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</si>
  <si>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</si>
  <si>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</si>
  <si>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</si>
  <si>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</si>
  <si>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</si>
  <si>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</si>
  <si>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</si>
  <si>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</si>
  <si>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</si>
  <si>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</si>
  <si>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</si>
  <si>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</si>
  <si>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</si>
  <si>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</si>
  <si>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</si>
  <si>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</si>
  <si>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</si>
  <si>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</si>
  <si>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</si>
  <si>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</si>
  <si>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</si>
  <si>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</si>
  <si>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</si>
  <si>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</si>
  <si>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</si>
  <si>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</si>
  <si>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</si>
  <si>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</si>
  <si>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</si>
  <si>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</si>
  <si>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</si>
  <si>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</si>
  <si>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</si>
  <si>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</si>
  <si>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</si>
  <si>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</si>
  <si>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</si>
  <si>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</si>
  <si>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</si>
  <si>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</si>
  <si>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</si>
  <si>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</si>
  <si>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</si>
  <si>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</si>
  <si>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</si>
  <si>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</si>
  <si>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</si>
  <si>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</si>
  <si>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</si>
  <si>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</si>
  <si>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</si>
  <si>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</si>
  <si>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</si>
  <si>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</si>
  <si>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</si>
  <si>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</si>
  <si>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</si>
  <si>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</si>
  <si>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</si>
  <si>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</si>
  <si>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</si>
  <si>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</si>
  <si>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</si>
  <si>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</si>
  <si>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</si>
  <si>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</si>
  <si>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</si>
  <si>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</si>
  <si>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</si>
  <si>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</si>
  <si>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</si>
  <si>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</si>
  <si>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</si>
  <si>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</si>
  <si>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</si>
  <si>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</si>
  <si>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</si>
  <si>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</si>
  <si>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</si>
  <si>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</si>
  <si>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</si>
  <si>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</si>
  <si>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</si>
  <si>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</si>
  <si>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</si>
  <si>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</si>
  <si>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</si>
  <si>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</si>
  <si>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</si>
  <si>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</si>
  <si>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</si>
  <si>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</si>
  <si>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</si>
  <si>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</si>
  <si>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</si>
  <si>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</si>
  <si>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</si>
  <si>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</si>
  <si>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</si>
  <si>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</si>
  <si>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</si>
  <si>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</si>
  <si>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</si>
  <si>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</si>
  <si>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</si>
  <si>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</si>
  <si>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</si>
  <si>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</si>
  <si>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</si>
  <si>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</si>
  <si>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</si>
  <si>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</si>
  <si>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</si>
  <si>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</si>
  <si>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</si>
  <si>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</si>
  <si>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</si>
  <si>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</si>
  <si>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</si>
  <si>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</si>
  <si>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</si>
  <si>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</si>
  <si>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</si>
  <si>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</si>
  <si>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</si>
  <si>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</si>
  <si>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</si>
  <si>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</si>
  <si>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</si>
  <si>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</si>
  <si>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</si>
  <si>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</si>
  <si>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</si>
  <si>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</si>
  <si>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</si>
  <si>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</si>
  <si>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</si>
  <si>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</si>
  <si>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</si>
  <si>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</si>
  <si>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</si>
  <si>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</si>
  <si>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</si>
  <si>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</si>
  <si>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</si>
  <si>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</si>
  <si>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</si>
  <si>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</si>
  <si>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</si>
  <si>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</si>
  <si>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</si>
  <si>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</si>
  <si>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</si>
  <si>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</si>
  <si>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</si>
  <si>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</si>
  <si>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</si>
  <si>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</si>
  <si>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</si>
  <si>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</si>
  <si>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</si>
  <si>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</si>
  <si>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</si>
  <si>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</si>
  <si>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</si>
  <si>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</si>
  <si>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</si>
  <si>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</si>
  <si>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</si>
  <si>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</si>
  <si>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</si>
  <si>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</si>
  <si>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</si>
  <si>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</si>
  <si>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</si>
  <si>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</si>
  <si>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</si>
  <si>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</si>
  <si>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</si>
  <si>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</si>
  <si>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</si>
  <si>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</si>
  <si>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</si>
  <si>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</si>
  <si>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</si>
  <si>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</si>
  <si>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</si>
  <si>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</si>
  <si>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</si>
  <si>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</si>
  <si>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</si>
  <si>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</si>
  <si>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</si>
  <si>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</si>
  <si>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</si>
  <si>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</si>
  <si>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</si>
  <si>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</si>
  <si>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</si>
  <si>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</si>
  <si>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</si>
  <si>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</si>
  <si>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</si>
  <si>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</si>
  <si>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</si>
  <si>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</si>
  <si>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</si>
  <si>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</si>
  <si>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</si>
  <si>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</si>
  <si>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</si>
  <si>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</si>
  <si>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</si>
  <si>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</si>
  <si>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</si>
  <si>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</si>
  <si>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</si>
  <si>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</si>
  <si>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</si>
  <si>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</si>
  <si>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</si>
  <si>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</si>
  <si>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</si>
  <si>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</si>
  <si>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</si>
  <si>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</si>
  <si>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</si>
  <si>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</si>
  <si>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</si>
  <si>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</si>
  <si>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</si>
  <si>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</si>
  <si>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</si>
  <si>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</si>
  <si>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</si>
  <si>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</si>
  <si>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</si>
  <si>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</si>
  <si>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</si>
  <si>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</si>
  <si>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</si>
  <si>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</si>
  <si>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</si>
  <si>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</si>
  <si>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</si>
  <si>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</si>
  <si>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</si>
  <si>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</si>
  <si>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</si>
  <si>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</si>
  <si>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</si>
  <si>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</si>
  <si>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</si>
  <si>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</si>
  <si>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</si>
  <si>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</si>
  <si>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</si>
  <si>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</si>
  <si>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</si>
  <si>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</si>
  <si>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</si>
  <si>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</si>
  <si>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</si>
  <si>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</si>
  <si>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</si>
  <si>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</si>
  <si>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</si>
  <si>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</si>
  <si>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</si>
  <si>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</si>
  <si>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</si>
  <si>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</si>
  <si>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</si>
  <si>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</si>
  <si>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</si>
  <si>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</si>
  <si>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</si>
  <si>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</si>
  <si>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</si>
  <si>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</si>
  <si>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</si>
  <si>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</si>
  <si>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</si>
  <si>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</si>
  <si>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</si>
  <si>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</si>
  <si>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</si>
  <si>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</si>
  <si>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</si>
  <si>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</si>
  <si>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</si>
  <si>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</si>
  <si>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</si>
  <si>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</si>
  <si>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</si>
  <si>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</si>
  <si>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</si>
  <si>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</si>
  <si>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</si>
  <si>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</si>
  <si>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</si>
  <si>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</si>
  <si>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</si>
  <si>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</si>
  <si>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</si>
  <si>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</si>
  <si>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</si>
  <si>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</si>
  <si>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</si>
  <si>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</si>
  <si>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</si>
  <si>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</si>
  <si>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</si>
  <si>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</si>
  <si>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</si>
  <si>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</si>
  <si>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</si>
  <si>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</si>
  <si>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</si>
  <si>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</si>
  <si>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</si>
  <si>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</si>
  <si>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</si>
  <si>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</si>
  <si>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</si>
  <si>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</si>
  <si>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</si>
  <si>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</si>
  <si>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</si>
  <si>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</si>
  <si>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</si>
  <si>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</si>
  <si>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</si>
  <si>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</si>
  <si>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</si>
  <si>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</si>
  <si>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</si>
  <si>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</si>
  <si>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</si>
  <si>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</si>
  <si>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</si>
  <si>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</si>
  <si>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</si>
  <si>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</si>
  <si>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</si>
  <si>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</si>
  <si>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</si>
  <si>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</si>
  <si>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</si>
  <si>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</si>
  <si>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</si>
  <si>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</si>
  <si>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</si>
  <si>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</si>
  <si>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</si>
  <si>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</si>
  <si>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</si>
  <si>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</si>
  <si>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</si>
  <si>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</si>
  <si>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</si>
  <si>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</si>
  <si>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</si>
  <si>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</si>
  <si>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</si>
  <si>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</si>
  <si>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</si>
  <si>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</si>
  <si>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</si>
  <si>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</si>
  <si>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</si>
  <si>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</si>
  <si>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</si>
  <si>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</si>
  <si>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</si>
  <si>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</si>
  <si>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</si>
  <si>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</si>
  <si>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</si>
  <si>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</si>
  <si>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</si>
  <si>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</si>
  <si>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</si>
  <si>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</si>
  <si>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</si>
  <si>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</si>
  <si>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</si>
  <si>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</si>
  <si>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</si>
  <si>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</si>
  <si>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</si>
  <si>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</si>
  <si>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</si>
  <si>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</si>
  <si>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</si>
  <si>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</si>
  <si>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</si>
  <si>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</si>
  <si>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</si>
  <si>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</si>
  <si>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</si>
  <si>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</si>
  <si>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</si>
  <si>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</si>
  <si>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</si>
  <si>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</si>
  <si>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</si>
  <si>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</si>
  <si>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</si>
  <si>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</si>
  <si>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</si>
  <si>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</si>
  <si>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</si>
  <si>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</si>
  <si>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</si>
  <si>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</si>
  <si>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</si>
  <si>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</si>
  <si>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</si>
  <si>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</si>
  <si>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</si>
  <si>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</si>
  <si>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</si>
  <si>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</si>
  <si>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</si>
  <si>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</si>
  <si>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</si>
  <si>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</si>
  <si>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</si>
  <si>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</si>
  <si>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</si>
  <si>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</si>
  <si>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</si>
  <si>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</si>
  <si>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</si>
  <si>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</si>
  <si>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</si>
  <si>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</si>
  <si>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</si>
  <si>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</si>
  <si>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</si>
  <si>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</si>
  <si>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</si>
  <si>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</si>
  <si>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</si>
  <si>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</si>
  <si>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</si>
  <si>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</si>
  <si>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</si>
  <si>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</si>
  <si>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</si>
  <si>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</si>
  <si>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</si>
  <si>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</si>
  <si>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</si>
  <si>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</si>
  <si>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</si>
  <si>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</si>
  <si>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</si>
  <si>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</si>
  <si>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</si>
  <si>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</si>
  <si>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</si>
  <si>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</si>
  <si>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</si>
  <si>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</si>
  <si>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</si>
  <si>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</si>
  <si>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</si>
  <si>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</si>
  <si>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</si>
  <si>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</si>
  <si>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</si>
  <si>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</si>
  <si>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</si>
  <si>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</si>
  <si>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</si>
  <si>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</si>
  <si>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</si>
  <si>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</si>
  <si>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</si>
  <si>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</si>
  <si>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</si>
  <si>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</si>
  <si>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</si>
  <si>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</si>
  <si>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</si>
  <si>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</si>
  <si>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</si>
  <si>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</si>
  <si>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</si>
  <si>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</si>
  <si>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</si>
  <si>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</si>
  <si>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</si>
  <si>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</si>
  <si>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</si>
  <si>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</si>
  <si>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</si>
  <si>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</si>
  <si>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</si>
  <si>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</si>
  <si>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</si>
  <si>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</si>
  <si>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</si>
  <si>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</si>
  <si>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</si>
  <si>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</si>
  <si>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</si>
  <si>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</si>
  <si>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</si>
  <si>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</si>
  <si>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</si>
  <si>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</si>
  <si>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</si>
  <si>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</si>
  <si>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</si>
  <si>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</si>
  <si>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</si>
  <si>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</si>
  <si>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</si>
  <si>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</si>
  <si>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</si>
  <si>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</si>
  <si>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</si>
  <si>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</si>
  <si>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</si>
  <si>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</si>
  <si>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</si>
  <si>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</si>
  <si>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</si>
  <si>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</si>
  <si>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</si>
  <si>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</si>
  <si>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</si>
  <si>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</si>
  <si>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</si>
  <si>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</si>
  <si>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</si>
  <si>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</si>
  <si>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</si>
  <si>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</si>
  <si>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</si>
  <si>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</si>
  <si>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</si>
  <si>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</si>
  <si>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</si>
  <si>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</si>
  <si>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</si>
  <si>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</si>
  <si>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</si>
  <si>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</si>
  <si>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</si>
  <si>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</si>
  <si>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</si>
  <si>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</si>
  <si>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</si>
  <si>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</si>
  <si>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</si>
  <si>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</si>
  <si>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</si>
  <si>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</si>
  <si>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</si>
  <si>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</si>
  <si>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</si>
  <si>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</si>
  <si>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</si>
  <si>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</si>
  <si>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</si>
  <si>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</si>
  <si>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</si>
  <si>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</si>
  <si>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</si>
  <si>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</si>
  <si>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</si>
  <si>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</si>
  <si>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</si>
  <si>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</si>
  <si>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</si>
  <si>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</si>
  <si>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</si>
  <si>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</si>
  <si>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</si>
  <si>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</si>
  <si>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</si>
  <si>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</si>
  <si>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</si>
  <si>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</si>
  <si>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</si>
  <si>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</si>
  <si>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</si>
  <si>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</si>
  <si>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</si>
  <si>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</si>
  <si>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</si>
  <si>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</si>
  <si>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</si>
  <si>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</si>
  <si>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</si>
  <si>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</si>
  <si>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</si>
  <si>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</si>
  <si>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</si>
  <si>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</si>
  <si>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</si>
  <si>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</si>
  <si>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</si>
  <si>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</si>
  <si>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</si>
  <si>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</si>
  <si>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</si>
  <si>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</si>
  <si>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</si>
  <si>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</si>
  <si>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</si>
  <si>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</si>
  <si>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</si>
  <si>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</si>
  <si>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</si>
  <si>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</si>
  <si>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</si>
  <si>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</si>
  <si>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</si>
  <si>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</si>
  <si>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</si>
  <si>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</si>
  <si>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</si>
  <si>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</si>
  <si>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</si>
  <si>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</si>
  <si>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</si>
  <si>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</si>
  <si>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</si>
  <si>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</si>
  <si>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</si>
  <si>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</si>
  <si>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</si>
  <si>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</si>
  <si>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</si>
  <si>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</si>
  <si>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</si>
  <si>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</si>
  <si>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</si>
  <si>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</si>
  <si>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</si>
  <si>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</si>
  <si>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</si>
  <si>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</si>
  <si>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</si>
  <si>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</si>
  <si>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</si>
  <si>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</si>
  <si>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</si>
  <si>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</si>
  <si>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</si>
  <si>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</si>
  <si>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</si>
  <si>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</si>
  <si>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</si>
  <si>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</si>
  <si>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</si>
  <si>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</si>
  <si>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</si>
  <si>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</si>
  <si>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</si>
  <si>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</si>
  <si>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</si>
  <si>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</si>
  <si>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</si>
  <si>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</si>
  <si>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</si>
  <si>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</si>
  <si>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</si>
  <si>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</si>
  <si>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</si>
  <si>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</si>
  <si>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</si>
  <si>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</si>
  <si>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</si>
  <si>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</si>
  <si>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</si>
  <si>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</si>
  <si>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</si>
  <si>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</si>
  <si>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</si>
  <si>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</si>
  <si>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</si>
  <si>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</si>
  <si>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</si>
  <si>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</si>
  <si>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</si>
  <si>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</si>
  <si>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</si>
  <si>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</si>
  <si>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</si>
  <si>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</si>
  <si>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</si>
  <si>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</si>
  <si>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</si>
  <si>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</si>
  <si>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</si>
  <si>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</si>
  <si>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</si>
  <si>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</si>
  <si>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</si>
  <si>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</si>
  <si>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</si>
  <si>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</si>
  <si>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</si>
  <si>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</si>
  <si>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</si>
  <si>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</si>
  <si>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</si>
  <si>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</si>
  <si>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</si>
  <si>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</si>
  <si>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</si>
  <si>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</si>
  <si>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</si>
  <si>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</si>
  <si>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</si>
  <si>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</si>
  <si>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</si>
  <si>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</si>
  <si>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</si>
  <si>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</si>
  <si>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</si>
  <si>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</si>
  <si>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</si>
  <si>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</si>
  <si>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</si>
  <si>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</si>
  <si>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</si>
  <si>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</si>
  <si>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</si>
  <si>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</si>
  <si>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</si>
  <si>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</si>
  <si>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</si>
  <si>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</si>
  <si>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</si>
  <si>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</si>
  <si>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</si>
  <si>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</si>
  <si>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</si>
  <si>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</si>
  <si>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</si>
  <si>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</si>
  <si>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</si>
  <si>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</si>
  <si>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</si>
  <si>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</si>
  <si>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</si>
  <si>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</si>
  <si>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</si>
  <si>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</si>
  <si>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</si>
  <si>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</si>
  <si>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</si>
  <si>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</si>
  <si>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</si>
  <si>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</si>
  <si>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</si>
  <si>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</si>
  <si>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</si>
  <si>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</si>
  <si>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</si>
  <si>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</si>
  <si>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</si>
  <si>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</si>
  <si>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</si>
  <si>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</si>
  <si>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</si>
  <si>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</si>
  <si>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</si>
  <si>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</si>
  <si>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</si>
  <si>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</si>
  <si>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</si>
  <si>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</si>
  <si>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</si>
  <si>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</si>
  <si>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</si>
  <si>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</si>
  <si>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</si>
  <si>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</si>
  <si>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</si>
  <si>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</si>
  <si>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</si>
  <si>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</si>
  <si>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</si>
  <si>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</si>
  <si>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</si>
  <si>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</si>
  <si>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</si>
  <si>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</si>
  <si>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</si>
  <si>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</si>
  <si>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</si>
  <si>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</si>
  <si>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</si>
  <si>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</si>
  <si>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</si>
  <si>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</si>
  <si>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</si>
  <si>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</si>
  <si>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</si>
  <si>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</si>
  <si>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</si>
  <si>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</si>
  <si>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</si>
  <si>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</si>
  <si>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</si>
  <si>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</si>
  <si>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</si>
  <si>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</si>
  <si>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</si>
  <si>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</si>
  <si>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</si>
  <si>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</si>
  <si>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</si>
  <si>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</si>
  <si>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</si>
  <si>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</si>
  <si>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</si>
  <si>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</si>
  <si>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</si>
  <si>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</si>
  <si>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</si>
  <si>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</si>
  <si>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</si>
  <si>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</si>
  <si>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</si>
  <si>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</si>
  <si>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</si>
  <si>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</si>
  <si>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</si>
  <si>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</si>
  <si>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</si>
  <si>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</si>
  <si>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</si>
  <si>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</si>
  <si>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</si>
  <si>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</si>
  <si>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</si>
  <si>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</si>
  <si>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</si>
  <si>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</si>
  <si>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</si>
  <si>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</si>
  <si>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</si>
  <si>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</si>
  <si>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</si>
  <si>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</si>
  <si>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</si>
  <si>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</si>
  <si>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</si>
  <si>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</si>
  <si>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</si>
  <si>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</si>
  <si>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</si>
  <si>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</si>
  <si>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</si>
  <si>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</si>
  <si>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</si>
  <si>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</si>
  <si>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</si>
  <si>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</si>
  <si>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</si>
  <si>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</si>
  <si>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</si>
  <si>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</si>
  <si>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</si>
  <si>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</si>
  <si>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</si>
  <si>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</si>
  <si>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</si>
  <si>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</si>
  <si>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</si>
  <si>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</si>
  <si>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</si>
  <si>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</si>
  <si>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</si>
  <si>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</si>
  <si>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</si>
  <si>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</si>
  <si>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</si>
  <si>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</si>
  <si>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</si>
  <si>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</si>
  <si>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</si>
  <si>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</si>
  <si>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</si>
  <si>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</si>
  <si>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</si>
  <si>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</si>
  <si>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</si>
  <si>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</si>
  <si>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</si>
  <si>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</si>
  <si>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</si>
  <si>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</si>
  <si>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</si>
  <si>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</si>
  <si>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</si>
  <si>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</si>
  <si>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</si>
  <si>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</si>
  <si>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</si>
  <si>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</si>
  <si>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</si>
  <si>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</si>
  <si>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</si>
  <si>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</si>
  <si>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</si>
  <si>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</si>
  <si>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</si>
  <si>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</si>
  <si>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</si>
  <si>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</si>
  <si>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</si>
  <si>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</si>
  <si>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</si>
  <si>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</si>
  <si>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</si>
  <si>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</si>
  <si>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</si>
  <si>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</si>
  <si>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</si>
  <si>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</si>
  <si>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</si>
  <si>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</si>
  <si>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</si>
  <si>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</si>
  <si>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</si>
  <si>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</si>
  <si>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</si>
  <si>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</si>
  <si>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</si>
  <si>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</si>
  <si>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</si>
  <si>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</si>
  <si>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</si>
  <si>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</si>
  <si>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</si>
  <si>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</si>
  <si>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</si>
  <si>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</si>
  <si>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</si>
  <si>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</si>
  <si>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</si>
  <si>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</si>
  <si>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</si>
  <si>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</si>
  <si>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</si>
  <si>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</si>
  <si>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</si>
  <si>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</si>
  <si>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</si>
  <si>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</si>
  <si>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</si>
  <si>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</si>
  <si>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</si>
  <si>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</si>
  <si>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</si>
  <si>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</si>
  <si>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</si>
  <si>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</si>
  <si>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</si>
  <si>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</si>
  <si>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</si>
  <si>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</si>
  <si>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</si>
  <si>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</si>
  <si>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</si>
  <si>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</si>
  <si>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</si>
  <si>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</si>
  <si>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</si>
  <si>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</si>
  <si>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</si>
  <si>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</si>
  <si>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</si>
  <si>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</si>
  <si>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</si>
  <si>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</si>
  <si>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</si>
  <si>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</si>
  <si>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</si>
  <si>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</si>
  <si>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</si>
  <si>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</si>
  <si>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</si>
  <si>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</si>
  <si>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</si>
  <si>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</si>
  <si>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</si>
  <si>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</si>
  <si>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</si>
  <si>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</si>
  <si>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</si>
  <si>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</si>
  <si>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</si>
  <si>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</si>
  <si>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</si>
  <si>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</si>
  <si>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</si>
  <si>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</si>
  <si>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</si>
  <si>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</si>
  <si>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</si>
  <si>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</si>
  <si>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</si>
  <si>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</si>
  <si>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</si>
  <si>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</si>
  <si>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</si>
  <si>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</si>
  <si>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</si>
  <si>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</si>
  <si>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</si>
  <si>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</si>
  <si>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</si>
  <si>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</si>
  <si>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</si>
  <si>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</si>
  <si>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</si>
  <si>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</si>
  <si>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</si>
  <si>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</si>
  <si>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</si>
  <si>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</si>
  <si>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</si>
  <si>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</si>
  <si>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</si>
  <si>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</si>
  <si>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</si>
  <si>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</si>
  <si>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</si>
  <si>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</si>
  <si>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</si>
  <si>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</si>
  <si>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</si>
  <si>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</si>
  <si>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</si>
  <si>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</si>
  <si>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</si>
  <si>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</si>
  <si>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</si>
  <si>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</si>
  <si>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</si>
  <si>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</si>
  <si>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</si>
  <si>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</si>
  <si>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</si>
  <si>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</si>
  <si>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</si>
  <si>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</si>
  <si>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</si>
  <si>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</si>
  <si>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</si>
  <si>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</si>
  <si>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</si>
  <si>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</si>
  <si>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</si>
  <si>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</si>
  <si>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</si>
  <si>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</si>
  <si>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</si>
  <si>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</si>
  <si>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</si>
  <si>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</si>
  <si>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</si>
  <si>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</si>
  <si>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</si>
  <si>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</si>
  <si>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</si>
  <si>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</si>
  <si>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</si>
  <si>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</si>
  <si>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</si>
  <si>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</si>
  <si>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</si>
  <si>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</si>
  <si>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</si>
  <si>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</si>
  <si>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</si>
  <si>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</si>
  <si>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</si>
  <si>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</si>
  <si>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</si>
  <si>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</si>
  <si>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</si>
  <si>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</si>
  <si>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</si>
  <si>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</si>
  <si>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</si>
  <si>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</si>
  <si>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</si>
  <si>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</si>
  <si>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</si>
  <si>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</si>
  <si>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</si>
  <si>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</si>
  <si>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</si>
  <si>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</si>
  <si>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</si>
  <si>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</si>
  <si>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</si>
  <si>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</si>
  <si>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</si>
  <si>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</si>
  <si>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</si>
  <si>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</si>
  <si>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</si>
  <si>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</si>
  <si>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</si>
  <si>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</si>
  <si>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</si>
  <si>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</si>
  <si>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</si>
  <si>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</si>
  <si>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</si>
  <si>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</si>
  <si>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</si>
  <si>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</si>
  <si>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</si>
  <si>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</si>
  <si>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</si>
  <si>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</si>
  <si>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</si>
  <si>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</si>
  <si>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</si>
  <si>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</si>
  <si>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</si>
  <si>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</si>
  <si>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</si>
  <si>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</si>
  <si>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</si>
  <si>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</si>
  <si>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</si>
  <si>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</si>
  <si>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</si>
  <si>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</si>
  <si>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</si>
  <si>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</si>
  <si>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</si>
  <si>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</si>
  <si>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</si>
  <si>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</si>
  <si>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</si>
  <si>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</si>
  <si>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</si>
  <si>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</si>
  <si>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</si>
  <si>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</si>
  <si>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</si>
  <si>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</si>
  <si>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</si>
  <si>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</si>
  <si>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</si>
  <si>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</si>
  <si>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</si>
  <si>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</si>
  <si>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</si>
  <si>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</si>
  <si>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</si>
  <si>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</si>
  <si>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</si>
  <si>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</si>
  <si>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</si>
  <si>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</si>
  <si>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</si>
  <si>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</si>
  <si>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</si>
  <si>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</si>
  <si>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</si>
  <si>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</si>
  <si>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</si>
  <si>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</si>
  <si>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</si>
  <si>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</si>
  <si>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</si>
  <si>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</si>
  <si>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</si>
  <si>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</si>
  <si>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</si>
  <si>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</si>
  <si>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</si>
  <si>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</si>
  <si>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</si>
  <si>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</si>
  <si>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</si>
  <si>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</si>
  <si>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</si>
  <si>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</si>
  <si>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</si>
  <si>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</si>
  <si>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</si>
  <si>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</si>
  <si>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</si>
  <si>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</si>
  <si>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</si>
  <si>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</si>
  <si>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</si>
  <si>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</si>
  <si>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</si>
  <si>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</si>
  <si>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</si>
  <si>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</si>
  <si>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</si>
  <si>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</si>
  <si>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</si>
  <si>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</si>
  <si>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</si>
  <si>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</si>
  <si>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</si>
  <si>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</si>
  <si>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</si>
  <si>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</si>
  <si>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</si>
  <si>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</si>
  <si>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</si>
  <si>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</si>
  <si>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</si>
  <si>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</si>
  <si>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</si>
  <si>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</si>
  <si>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</si>
  <si>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</si>
  <si>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</si>
  <si>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</si>
  <si>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</si>
  <si>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</si>
  <si>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</si>
  <si>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</si>
  <si>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</si>
  <si>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</si>
  <si>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</si>
  <si>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</si>
  <si>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</si>
  <si>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</si>
  <si>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</si>
  <si>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</si>
  <si>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</si>
  <si>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</si>
  <si>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</si>
  <si>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</si>
  <si>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</si>
  <si>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</si>
  <si>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</si>
  <si>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</si>
  <si>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</si>
  <si>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</si>
  <si>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</si>
  <si>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</si>
  <si>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</si>
  <si>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</si>
  <si>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</si>
  <si>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</si>
  <si>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</si>
  <si>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</si>
  <si>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</si>
  <si>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</si>
  <si>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</si>
  <si>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</si>
  <si>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</si>
  <si>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</si>
  <si>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</si>
  <si>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</si>
  <si>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</si>
  <si>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</si>
  <si>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</si>
  <si>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</si>
  <si>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</si>
  <si>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</si>
  <si>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</si>
  <si>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</si>
  <si>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</si>
  <si>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</si>
  <si>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</si>
  <si>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</si>
  <si>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</si>
  <si>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</si>
  <si>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</si>
  <si>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</si>
  <si>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</si>
  <si>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</si>
  <si>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</si>
  <si>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</si>
  <si>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</si>
  <si>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</si>
  <si>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</si>
  <si>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</si>
  <si>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</si>
  <si>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</si>
  <si>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</si>
  <si>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</si>
  <si>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</si>
  <si>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</si>
  <si>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</si>
  <si>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</si>
  <si>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</si>
  <si>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</si>
  <si>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</si>
  <si>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</si>
  <si>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</si>
  <si>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</si>
  <si>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</si>
  <si>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</si>
  <si>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</si>
  <si>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</si>
  <si>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</si>
  <si>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</si>
  <si>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</si>
  <si>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</si>
  <si>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</si>
  <si>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</si>
  <si>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</si>
  <si>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</si>
  <si>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</si>
  <si>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</si>
  <si>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</si>
  <si>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</si>
  <si>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</si>
  <si>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</si>
  <si>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</si>
  <si>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</si>
  <si>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</si>
  <si>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</si>
  <si>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</si>
  <si>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</si>
  <si>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</si>
  <si>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</si>
  <si>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</si>
  <si>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</si>
  <si>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</si>
  <si>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</si>
  <si>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</si>
  <si>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</si>
  <si>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</si>
  <si>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</si>
  <si>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</si>
  <si>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</si>
  <si>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</si>
  <si>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</si>
  <si>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</si>
  <si>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</si>
  <si>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</si>
  <si>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</si>
  <si>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</si>
  <si>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</si>
  <si>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</si>
  <si>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</si>
  <si>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</si>
  <si>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</si>
  <si>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</si>
  <si>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</si>
  <si>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</si>
  <si>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</si>
  <si>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</si>
  <si>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</si>
  <si>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</si>
  <si>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</si>
  <si>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</si>
  <si>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</si>
  <si>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</si>
  <si>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</si>
  <si>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</si>
  <si>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</si>
  <si>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</si>
  <si>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</si>
  <si>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</si>
  <si>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</si>
  <si>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</si>
  <si>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</si>
  <si>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</si>
  <si>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</si>
  <si>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</si>
  <si>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</si>
  <si>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</si>
  <si>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</si>
  <si>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</si>
  <si>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</si>
  <si>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</si>
  <si>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</si>
  <si>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</si>
  <si>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</si>
  <si>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</si>
  <si>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</si>
  <si>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</si>
  <si>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</si>
  <si>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</si>
  <si>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</si>
  <si>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</si>
  <si>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</si>
  <si>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</si>
  <si>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</si>
  <si>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</si>
  <si>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</si>
  <si>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</si>
  <si>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</si>
  <si>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</si>
  <si>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</si>
  <si>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</si>
  <si>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</si>
  <si>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</si>
  <si>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</si>
  <si>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</si>
  <si>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</si>
  <si>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</si>
  <si>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</si>
  <si>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</si>
  <si>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</si>
  <si>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</si>
  <si>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</si>
  <si>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</si>
  <si>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</si>
  <si>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</si>
  <si>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</si>
  <si>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</si>
  <si>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</si>
  <si>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</si>
  <si>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</si>
  <si>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</si>
  <si>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</si>
  <si>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</si>
  <si>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</si>
  <si>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</si>
  <si>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</si>
  <si>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</si>
  <si>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</si>
  <si>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</si>
  <si>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</si>
  <si>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</si>
  <si>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</si>
  <si>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</si>
  <si>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</si>
  <si>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</si>
  <si>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</si>
  <si>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</si>
  <si>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</si>
  <si>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</si>
  <si>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</si>
  <si>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</si>
  <si>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</si>
  <si>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</si>
  <si>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</si>
  <si>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</si>
  <si>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</si>
  <si>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</si>
  <si>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</si>
  <si>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</si>
  <si>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</si>
  <si>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</si>
  <si>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</si>
  <si>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</si>
  <si>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</si>
  <si>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</si>
  <si>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</si>
  <si>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</si>
  <si>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</si>
  <si>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</si>
  <si>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</si>
  <si>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</si>
  <si>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</si>
  <si>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</si>
  <si>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</si>
  <si>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</si>
  <si>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</si>
  <si>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</si>
  <si>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</si>
  <si>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</si>
  <si>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</si>
  <si>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</si>
  <si>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</si>
  <si>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</si>
  <si>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</si>
  <si>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</si>
  <si>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</si>
  <si>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</si>
  <si>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</si>
  <si>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</si>
  <si>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</si>
  <si>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</si>
  <si>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</si>
  <si>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</si>
  <si>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</si>
  <si>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</si>
  <si>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</si>
  <si>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</si>
  <si>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</si>
  <si>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</si>
  <si>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</si>
  <si>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</si>
  <si>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</si>
  <si>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</si>
  <si>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</si>
  <si>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</si>
  <si>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</si>
  <si>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</si>
  <si>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</si>
  <si>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</si>
  <si>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</si>
  <si>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</si>
  <si>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</si>
  <si>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</si>
  <si>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</si>
  <si>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</si>
  <si>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</si>
  <si>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</si>
  <si>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</si>
  <si>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</si>
  <si>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</si>
  <si>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</si>
  <si>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</si>
  <si>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</si>
  <si>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</si>
  <si>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</si>
  <si>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</si>
  <si>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</si>
  <si>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</si>
  <si>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</si>
  <si>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</si>
  <si>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</si>
  <si>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</si>
  <si>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</si>
  <si>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</si>
  <si>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</si>
  <si>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</si>
  <si>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</si>
  <si>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</si>
  <si>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</si>
  <si>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</si>
  <si>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</si>
  <si>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</si>
  <si>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</si>
  <si>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</si>
  <si>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</si>
  <si>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</si>
  <si>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</si>
  <si>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</si>
  <si>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</si>
  <si>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</si>
  <si>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</si>
  <si>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</si>
  <si>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</si>
  <si>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</si>
  <si>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</si>
  <si>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</si>
  <si>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</si>
  <si>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</si>
  <si>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</si>
  <si>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</si>
  <si>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</si>
  <si>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</si>
  <si>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</si>
  <si>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</si>
  <si>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</si>
  <si>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</si>
  <si>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</si>
  <si>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</si>
  <si>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</si>
  <si>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</si>
  <si>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</si>
  <si>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</si>
  <si>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</si>
  <si>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</si>
  <si>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</si>
  <si>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</si>
  <si>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</si>
  <si>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</si>
  <si>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</si>
  <si>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</si>
  <si>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</si>
  <si>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</si>
  <si>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</si>
  <si>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</si>
  <si>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</si>
  <si>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</si>
  <si>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</si>
  <si>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</si>
  <si>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</si>
  <si>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</si>
  <si>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</si>
  <si>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</si>
  <si>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</si>
  <si>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</si>
  <si>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</si>
  <si>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</si>
  <si>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</si>
  <si>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</si>
  <si>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</si>
  <si>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</si>
  <si>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</si>
  <si>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</si>
  <si>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</si>
  <si>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</si>
  <si>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</si>
  <si>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</si>
  <si>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</si>
  <si>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</si>
  <si>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</si>
  <si>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</si>
  <si>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</si>
  <si>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</si>
  <si>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</si>
  <si>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</si>
  <si>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</si>
  <si>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</si>
  <si>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</si>
  <si>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</si>
  <si>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</si>
  <si>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</si>
  <si>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</si>
  <si>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</si>
  <si>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</si>
  <si>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</si>
  <si>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</si>
  <si>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</si>
  <si>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</si>
  <si>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</si>
  <si>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</si>
  <si>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</si>
  <si>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</si>
  <si>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</si>
  <si>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</si>
  <si>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</si>
  <si>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</si>
  <si>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</si>
  <si>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</si>
  <si>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</si>
  <si>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</si>
  <si>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</si>
  <si>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</si>
  <si>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</si>
  <si>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</si>
  <si>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</si>
  <si>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</si>
  <si>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</si>
  <si>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</si>
  <si>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</si>
  <si>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</si>
  <si>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</si>
  <si>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</si>
  <si>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</si>
  <si>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</si>
  <si>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</si>
  <si>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</si>
  <si>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</si>
  <si>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</si>
  <si>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</si>
  <si>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</si>
  <si>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</si>
  <si>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</si>
  <si>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</si>
  <si>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</si>
  <si>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</si>
  <si>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</si>
  <si>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</si>
  <si>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</si>
  <si>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</si>
  <si>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</si>
  <si>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</si>
  <si>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</si>
  <si>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</si>
  <si>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</si>
  <si>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</si>
  <si>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</si>
  <si>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</si>
  <si>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</si>
  <si>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</si>
  <si>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</si>
  <si>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</si>
  <si>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</si>
  <si>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</si>
  <si>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</si>
  <si>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</si>
  <si>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</si>
  <si>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</si>
  <si>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</si>
  <si>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</si>
  <si>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</si>
  <si>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</si>
  <si>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</si>
  <si>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</si>
  <si>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</si>
  <si>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</si>
  <si>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</si>
  <si>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</si>
  <si>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</si>
  <si>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</si>
  <si>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</si>
  <si>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</si>
  <si>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</si>
  <si>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</si>
  <si>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</si>
  <si>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</si>
  <si>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</si>
  <si>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</si>
  <si>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</si>
  <si>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</si>
  <si>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</si>
  <si>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</si>
  <si>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</si>
  <si>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</si>
  <si>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</si>
  <si>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</si>
  <si>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</si>
  <si>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</si>
  <si>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</si>
  <si>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</si>
  <si>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</si>
  <si>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</si>
  <si>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</si>
  <si>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</si>
  <si>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</si>
  <si>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</si>
  <si>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</si>
  <si>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</si>
  <si>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</si>
  <si>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</si>
  <si>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</si>
  <si>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</si>
  <si>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</si>
  <si>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</si>
  <si>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</si>
  <si>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</si>
  <si>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</si>
  <si>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</si>
  <si>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</si>
  <si>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</si>
  <si>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</si>
  <si>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</si>
  <si>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</si>
  <si>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</si>
  <si>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</si>
  <si>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</si>
  <si>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</si>
  <si>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</si>
  <si>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</si>
  <si>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</si>
  <si>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</si>
  <si>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</si>
  <si>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</si>
  <si>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</si>
  <si>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</si>
  <si>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</si>
  <si>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</si>
  <si>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</si>
  <si>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</si>
  <si>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</si>
  <si>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</si>
  <si>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</si>
  <si>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</si>
  <si>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</si>
  <si>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</si>
  <si>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</si>
  <si>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</si>
  <si>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</si>
  <si>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</si>
  <si>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</si>
  <si>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</si>
  <si>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</si>
  <si>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</si>
  <si>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</si>
  <si>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</si>
  <si>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</si>
  <si>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</si>
  <si>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</si>
  <si>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</si>
  <si>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</si>
  <si>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</si>
  <si>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</si>
  <si>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</si>
  <si>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</si>
  <si>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</si>
  <si>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</si>
  <si>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</si>
  <si>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</si>
  <si>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</si>
  <si>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</si>
  <si>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</si>
  <si>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</si>
  <si>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</si>
  <si>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</si>
  <si>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</si>
  <si>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</si>
  <si>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</si>
  <si>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</si>
  <si>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</si>
  <si>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</si>
  <si>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</si>
  <si>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</si>
  <si>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</si>
  <si>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</si>
  <si>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</si>
  <si>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</si>
  <si>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</si>
  <si>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</si>
  <si>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</si>
  <si>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</si>
  <si>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</si>
  <si>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</si>
  <si>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</si>
  <si>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</si>
  <si>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</si>
  <si>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</si>
  <si>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</si>
  <si>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</si>
  <si>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</si>
  <si>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</si>
  <si>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</si>
  <si>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</si>
  <si>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</si>
  <si>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</si>
  <si>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</si>
  <si>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</si>
  <si>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</si>
  <si>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</si>
  <si>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</si>
  <si>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</si>
  <si>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</si>
  <si>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</si>
  <si>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</si>
  <si>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</si>
  <si>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</si>
  <si>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</si>
  <si>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</si>
  <si>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</si>
  <si>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</si>
  <si>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</si>
  <si>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</si>
  <si>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</si>
  <si>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</si>
  <si>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</si>
  <si>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</si>
  <si>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</si>
  <si>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</si>
  <si>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</si>
  <si>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</si>
  <si>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</si>
  <si>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</si>
  <si>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</si>
  <si>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</si>
  <si>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</si>
  <si>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</si>
  <si>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</si>
  <si>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</si>
  <si>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</si>
  <si>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</si>
  <si>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</si>
  <si>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</si>
  <si>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</si>
  <si>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</si>
  <si>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</si>
  <si>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</si>
  <si>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</si>
  <si>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</si>
  <si>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</si>
  <si>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</si>
  <si>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</si>
  <si>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</si>
  <si>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</si>
  <si>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</si>
  <si>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</si>
  <si>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</si>
  <si>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</si>
  <si>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</si>
  <si>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</si>
  <si>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</si>
  <si>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</si>
  <si>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</si>
  <si>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</si>
  <si>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</si>
  <si>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</si>
  <si>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</si>
  <si>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</si>
  <si>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</si>
  <si>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</si>
  <si>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</si>
  <si>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</si>
  <si>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</si>
  <si>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</si>
  <si>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</si>
  <si>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</si>
  <si>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</si>
  <si>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</si>
  <si>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</si>
  <si>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</si>
  <si>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</si>
  <si>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</si>
  <si>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</si>
  <si>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</si>
  <si>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</si>
  <si>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</si>
  <si>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</si>
  <si>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</si>
  <si>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</si>
  <si>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</si>
  <si>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</si>
  <si>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</si>
  <si>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</si>
  <si>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</si>
  <si>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</si>
  <si>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</si>
  <si>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</si>
  <si>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</si>
  <si>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</si>
  <si>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</si>
  <si>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</si>
  <si>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</si>
  <si>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</si>
  <si>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</si>
  <si>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</si>
  <si>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</si>
  <si>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</si>
  <si>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</si>
  <si>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</si>
  <si>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</si>
  <si>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</si>
  <si>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</si>
  <si>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</si>
  <si>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</si>
  <si>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</si>
  <si>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</si>
  <si>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</si>
  <si>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</si>
  <si>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</si>
  <si>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</si>
  <si>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</si>
  <si>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</si>
  <si>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</si>
  <si>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</si>
  <si>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</si>
  <si>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</si>
  <si>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</si>
  <si>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</si>
  <si>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</si>
  <si>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</si>
  <si>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</si>
  <si>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</si>
  <si>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</si>
  <si>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</si>
  <si>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</si>
  <si>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</si>
  <si>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</si>
  <si>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</si>
  <si>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</si>
  <si>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</si>
  <si>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</si>
  <si>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</si>
  <si>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</si>
  <si>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</si>
  <si>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</si>
  <si>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</si>
  <si>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</si>
  <si>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</si>
  <si>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</si>
  <si>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</si>
  <si>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</si>
  <si>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</si>
  <si>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</si>
  <si>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</si>
  <si>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</si>
  <si>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</si>
  <si>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</si>
  <si>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</si>
  <si>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</si>
  <si>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</si>
  <si>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</si>
  <si>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</si>
  <si>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</si>
  <si>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</si>
  <si>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</si>
  <si>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</si>
  <si>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</si>
  <si>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</si>
  <si>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</si>
  <si>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</si>
  <si>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</si>
  <si>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</si>
  <si>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</si>
  <si>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</si>
  <si>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</si>
  <si>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</si>
  <si>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</si>
  <si>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</si>
  <si>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</si>
  <si>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</si>
  <si>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</si>
  <si>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</si>
  <si>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</si>
  <si>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</si>
  <si>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</si>
  <si>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</si>
  <si>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</si>
  <si>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</si>
  <si>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</si>
  <si>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</si>
  <si>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</si>
  <si>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</si>
  <si>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</si>
  <si>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</si>
  <si>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</si>
  <si>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</si>
  <si>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</si>
  <si>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</si>
  <si>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</si>
  <si>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</si>
  <si>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</si>
  <si>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</si>
  <si>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</si>
  <si>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</si>
  <si>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</si>
  <si>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</si>
  <si>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</si>
  <si>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</si>
  <si>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</si>
  <si>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</si>
  <si>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</si>
  <si>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</si>
  <si>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</si>
  <si>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</si>
  <si>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</si>
  <si>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</si>
  <si>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</si>
  <si>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</si>
  <si>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</si>
  <si>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</si>
  <si>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</si>
  <si>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</si>
  <si>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</si>
  <si>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</si>
  <si>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</si>
  <si>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</si>
  <si>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</si>
  <si>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</si>
  <si>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</si>
  <si>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</si>
  <si>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</si>
  <si>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</si>
  <si>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</si>
  <si>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</si>
  <si>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</si>
  <si>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</si>
  <si>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</si>
  <si>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</si>
  <si>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</si>
  <si>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</si>
  <si>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</si>
  <si>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</si>
  <si>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</si>
  <si>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</si>
  <si>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</si>
  <si>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</si>
  <si>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</si>
  <si>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</si>
  <si>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</si>
  <si>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</si>
  <si>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</si>
  <si>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</si>
  <si>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</si>
  <si>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</si>
  <si>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</si>
  <si>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</si>
  <si>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</si>
  <si>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</si>
  <si>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</si>
  <si>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</si>
  <si>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</si>
  <si>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</si>
  <si>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</si>
  <si>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</si>
  <si>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</si>
  <si>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</si>
  <si>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</si>
  <si>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</si>
  <si>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</si>
  <si>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</si>
  <si>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</si>
  <si>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</si>
  <si>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</si>
  <si>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</si>
  <si>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</si>
  <si>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</si>
  <si>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</si>
  <si>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</si>
  <si>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</si>
  <si>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</si>
  <si>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</si>
  <si>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</si>
  <si>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</si>
  <si>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</si>
  <si>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</si>
  <si>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</si>
  <si>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</si>
  <si>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</si>
  <si>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</si>
  <si>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</si>
  <si>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</si>
  <si>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</si>
  <si>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</si>
  <si>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</si>
  <si>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</si>
  <si>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</si>
  <si>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</si>
  <si>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</si>
  <si>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</si>
  <si>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</si>
  <si>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</si>
  <si>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</si>
  <si>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</si>
  <si>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</si>
  <si>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</si>
  <si>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</si>
  <si>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</si>
  <si>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</si>
  <si>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</si>
  <si>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</si>
  <si>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</si>
  <si>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</si>
  <si>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</si>
  <si>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</si>
  <si>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</si>
  <si>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</si>
  <si>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</si>
  <si>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</si>
  <si>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</si>
  <si>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</si>
  <si>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</si>
  <si>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</si>
  <si>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</si>
  <si>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</si>
  <si>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</si>
  <si>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</si>
  <si>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</si>
  <si>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</si>
  <si>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</si>
  <si>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</si>
  <si>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</si>
  <si>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</si>
  <si>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</si>
  <si>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</si>
  <si>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</si>
  <si>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</si>
  <si>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</si>
  <si>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</si>
  <si>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</si>
  <si>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</si>
  <si>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</si>
  <si>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</si>
  <si>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</si>
  <si>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</si>
  <si>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</si>
  <si>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</si>
  <si>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</si>
  <si>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</si>
  <si>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</si>
  <si>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</si>
  <si>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</si>
  <si>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</si>
  <si>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</si>
  <si>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</si>
  <si>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</si>
  <si>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</si>
  <si>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</si>
  <si>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</si>
  <si>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</si>
  <si>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</si>
  <si>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</si>
  <si>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</si>
  <si>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</si>
  <si>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</si>
  <si>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</si>
  <si>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</si>
  <si>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</si>
  <si>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</si>
  <si>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</si>
  <si>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</si>
  <si>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</si>
  <si>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</si>
  <si>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</si>
  <si>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</si>
  <si>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</si>
  <si>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</si>
  <si>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</si>
  <si>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</si>
  <si>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</si>
  <si>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</si>
  <si>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</si>
  <si>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</si>
  <si>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</si>
  <si>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</si>
  <si>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</si>
  <si>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</si>
  <si>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</si>
  <si>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</si>
  <si>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</si>
  <si>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</si>
  <si>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</si>
  <si>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</si>
  <si>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</si>
  <si>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</si>
  <si>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</si>
  <si>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</si>
  <si>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</si>
  <si>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</si>
  <si>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</si>
  <si>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</si>
  <si>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</si>
  <si>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</si>
  <si>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</si>
  <si>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</si>
  <si>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</si>
  <si>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</si>
  <si>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</si>
  <si>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</si>
  <si>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</si>
  <si>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</si>
  <si>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</si>
  <si>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</si>
  <si>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</si>
  <si>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</si>
  <si>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</si>
  <si>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</si>
  <si>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</si>
  <si>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</si>
  <si>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</si>
  <si>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</si>
  <si>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</si>
  <si>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</si>
  <si>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</si>
  <si>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</si>
  <si>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</si>
  <si>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</si>
  <si>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</si>
  <si>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</si>
  <si>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</si>
  <si>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</si>
  <si>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</si>
  <si>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</si>
  <si>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</si>
  <si>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</si>
  <si>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</si>
  <si>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</si>
  <si>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</si>
  <si>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</si>
  <si>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</si>
  <si>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</si>
  <si>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</si>
  <si>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</si>
  <si>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</si>
  <si>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</si>
  <si>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</si>
  <si>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</si>
  <si>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</si>
  <si>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</si>
  <si>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</si>
  <si>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</si>
  <si>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</si>
  <si>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</si>
  <si>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</si>
  <si>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</si>
  <si>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</si>
  <si>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</si>
  <si>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</si>
  <si>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</si>
  <si>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</si>
  <si>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</si>
  <si>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</si>
  <si>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</si>
  <si>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</si>
  <si>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</si>
  <si>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</si>
  <si>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</si>
  <si>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</si>
  <si>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</si>
  <si>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</si>
  <si>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</si>
  <si>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</si>
  <si>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</si>
  <si>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</si>
  <si>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</si>
  <si>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</si>
  <si>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</si>
  <si>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</si>
  <si>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</si>
  <si>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</si>
  <si>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</si>
  <si>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</si>
  <si>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</si>
  <si>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</si>
  <si>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</si>
  <si>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</si>
  <si>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</si>
  <si>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</si>
  <si>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</si>
  <si>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</si>
  <si>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</si>
  <si>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</si>
  <si>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</si>
  <si>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</si>
  <si>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</si>
  <si>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</si>
  <si>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</si>
  <si>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</si>
  <si>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</si>
  <si>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</si>
  <si>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</si>
  <si>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</si>
  <si>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</si>
  <si>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</si>
  <si>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</si>
  <si>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</si>
  <si>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</si>
  <si>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</si>
  <si>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</si>
  <si>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</si>
  <si>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</si>
  <si>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</si>
  <si>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</si>
  <si>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</si>
  <si>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</si>
  <si>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</si>
  <si>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</si>
  <si>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</si>
  <si>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</si>
  <si>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</si>
  <si>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</si>
  <si>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</si>
  <si>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</si>
  <si>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</si>
  <si>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</si>
  <si>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</si>
  <si>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</si>
  <si>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</si>
  <si>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</si>
  <si>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</si>
  <si>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</si>
  <si>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</si>
  <si>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</si>
  <si>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</si>
  <si>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</si>
  <si>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</si>
  <si>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</si>
  <si>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</si>
  <si>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</si>
  <si>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</si>
  <si>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</si>
  <si>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</si>
  <si>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</si>
  <si>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</si>
  <si>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</si>
  <si>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</si>
  <si>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</si>
  <si>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</si>
  <si>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</si>
  <si>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</si>
  <si>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</si>
  <si>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</si>
  <si>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</si>
  <si>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</si>
  <si>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</si>
  <si>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</si>
  <si>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</si>
  <si>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</si>
  <si>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</si>
  <si>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</si>
  <si>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</si>
  <si>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</si>
  <si>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</si>
  <si>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</si>
  <si>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</si>
  <si>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</si>
  <si>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</si>
  <si>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</si>
  <si>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</si>
  <si>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</si>
  <si>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</si>
  <si>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</si>
  <si>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</si>
  <si>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</si>
  <si>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</si>
  <si>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</si>
  <si>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</si>
  <si>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</si>
  <si>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</si>
  <si>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</si>
  <si>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</si>
  <si>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</si>
  <si>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</si>
  <si>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</si>
  <si>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</si>
  <si>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</si>
  <si>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</si>
  <si>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</si>
  <si>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</si>
  <si>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</si>
  <si>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</si>
  <si>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</si>
  <si>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</si>
  <si>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</si>
  <si>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</si>
  <si>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</si>
  <si>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</si>
  <si>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</si>
  <si>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</si>
  <si>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</si>
  <si>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</si>
  <si>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</si>
  <si>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</si>
  <si>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</si>
  <si>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</si>
  <si>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</si>
  <si>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</si>
  <si>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</si>
  <si>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</si>
  <si>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</si>
  <si>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</si>
  <si>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</si>
  <si>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</si>
  <si>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</si>
  <si>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</si>
  <si>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</si>
  <si>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</si>
  <si>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</si>
  <si>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</si>
  <si>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</si>
  <si>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</si>
  <si>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</si>
  <si>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</si>
  <si>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</si>
  <si>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</si>
  <si>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</si>
  <si>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</si>
  <si>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</si>
  <si>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</si>
  <si>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</si>
  <si>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</si>
  <si>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</si>
  <si>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</si>
  <si>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</si>
  <si>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</si>
  <si>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</si>
  <si>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</si>
  <si>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</si>
  <si>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</si>
  <si>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</si>
  <si>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</si>
  <si>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</si>
  <si>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</si>
  <si>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</si>
  <si>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</si>
  <si>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</si>
  <si>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</si>
  <si>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</si>
  <si>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</si>
  <si>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</si>
  <si>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</si>
  <si>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</si>
  <si>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</si>
  <si>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</si>
  <si>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</si>
  <si>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</si>
  <si>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</si>
  <si>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</si>
  <si>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</si>
  <si>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</si>
  <si>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</si>
  <si>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</si>
  <si>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</si>
  <si>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</si>
  <si>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</si>
  <si>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</si>
  <si>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</si>
  <si>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</si>
  <si>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</si>
  <si>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</si>
  <si>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</si>
  <si>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</si>
  <si>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</si>
  <si>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</si>
  <si>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</si>
  <si>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</si>
  <si>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</si>
  <si>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</si>
  <si>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</si>
  <si>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</si>
  <si>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</si>
  <si>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</si>
  <si>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</si>
  <si>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</si>
  <si>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</si>
  <si>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</si>
  <si>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</si>
  <si>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</si>
  <si>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</si>
  <si>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</si>
  <si>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</si>
  <si>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</si>
  <si>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</si>
  <si>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</si>
  <si>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</si>
  <si>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</si>
  <si>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</si>
  <si>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</si>
  <si>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</si>
  <si>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</si>
  <si>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</si>
  <si>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</si>
  <si>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</si>
  <si>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</si>
  <si>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</si>
  <si>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</si>
  <si>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</si>
  <si>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</si>
  <si>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</si>
  <si>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</si>
  <si>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</si>
  <si>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</si>
  <si>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</si>
  <si>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</si>
  <si>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</si>
  <si>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</si>
  <si>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</si>
  <si>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</si>
  <si>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</si>
  <si>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</si>
  <si>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</si>
  <si>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</si>
  <si>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</si>
  <si>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</si>
  <si>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</si>
  <si>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</si>
  <si>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</si>
  <si>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</si>
  <si>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</si>
  <si>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</si>
  <si>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</si>
  <si>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</si>
  <si>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</si>
  <si>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</si>
  <si>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</si>
  <si>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</si>
  <si>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</si>
  <si>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</si>
  <si>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</si>
  <si>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</si>
  <si>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</si>
  <si>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</si>
  <si>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</si>
  <si>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</si>
  <si>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</si>
  <si>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</si>
  <si>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</si>
  <si>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</si>
  <si>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</si>
  <si>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</si>
  <si>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</si>
  <si>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</si>
  <si>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</si>
  <si>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</si>
  <si>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</si>
  <si>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</si>
  <si>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</si>
  <si>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</si>
  <si>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</si>
  <si>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</si>
  <si>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</si>
  <si>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</si>
  <si>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</si>
  <si>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</si>
  <si>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</si>
  <si>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</si>
  <si>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</si>
  <si>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</si>
  <si>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</si>
  <si>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</si>
  <si>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</si>
  <si>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</si>
  <si>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</si>
  <si>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</si>
  <si>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</si>
  <si>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</si>
  <si>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</si>
  <si>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</si>
  <si>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</si>
  <si>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</si>
  <si>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</si>
  <si>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</si>
  <si>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</si>
  <si>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</si>
  <si>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</si>
  <si>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</si>
  <si>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</si>
  <si>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</si>
  <si>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</si>
  <si>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</si>
  <si>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</si>
  <si>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</si>
  <si>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</si>
  <si>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</si>
  <si>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</si>
  <si>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</si>
  <si>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</si>
  <si>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</si>
  <si>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</si>
  <si>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</si>
  <si>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</si>
  <si>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</si>
  <si>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</si>
  <si>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</si>
  <si>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</si>
  <si>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</si>
  <si>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</si>
  <si>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</si>
  <si>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</si>
  <si>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</si>
  <si>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</si>
  <si>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</si>
  <si>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</si>
  <si>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</si>
  <si>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</si>
  <si>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</si>
  <si>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</si>
  <si>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</si>
  <si>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</si>
  <si>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</si>
  <si>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</si>
  <si>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</si>
  <si>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</si>
  <si>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</si>
  <si>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</si>
  <si>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</si>
  <si>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</si>
  <si>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</si>
  <si>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</si>
  <si>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</si>
  <si>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</si>
  <si>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</si>
  <si>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</si>
  <si>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</si>
  <si>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</si>
  <si>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</si>
  <si>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</si>
  <si>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</si>
  <si>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</si>
  <si>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</si>
  <si>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</si>
  <si>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</si>
  <si>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</si>
  <si>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</si>
  <si>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</si>
  <si>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</si>
  <si>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</si>
  <si>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</si>
  <si>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</si>
  <si>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</si>
  <si>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</si>
  <si>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</si>
  <si>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</si>
  <si>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</si>
  <si>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</si>
  <si>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</si>
  <si>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</si>
  <si>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</si>
  <si>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</si>
  <si>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</si>
  <si>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</si>
  <si>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</si>
  <si>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</si>
  <si>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</si>
  <si>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</si>
  <si>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</si>
  <si>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</si>
  <si>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</si>
  <si>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</si>
  <si>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</si>
  <si>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</si>
  <si>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</si>
  <si>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</si>
  <si>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</si>
  <si>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</si>
  <si>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</si>
  <si>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</si>
  <si>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</si>
  <si>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</si>
  <si>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</si>
  <si>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</si>
  <si>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</si>
  <si>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</si>
  <si>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</si>
  <si>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</si>
  <si>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</si>
  <si>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</si>
  <si>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</si>
  <si>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</si>
  <si>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</si>
  <si>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</si>
  <si>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</si>
  <si>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</si>
  <si>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</si>
  <si>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</si>
  <si>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</si>
  <si>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</si>
  <si>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</si>
  <si>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</si>
  <si>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</si>
  <si>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</si>
  <si>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</si>
  <si>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</si>
  <si>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</si>
  <si>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</si>
  <si>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</si>
  <si>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</si>
  <si>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</si>
  <si>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</si>
  <si>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</si>
  <si>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</si>
  <si>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</si>
  <si>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</si>
  <si>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</si>
  <si>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</si>
  <si>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</si>
  <si>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</si>
  <si>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</si>
  <si>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</si>
  <si>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</si>
  <si>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</si>
  <si>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</si>
  <si>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</si>
  <si>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</si>
  <si>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</si>
  <si>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</si>
  <si>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</si>
  <si>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</si>
  <si>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</si>
  <si>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</si>
  <si>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</si>
  <si>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</si>
  <si>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</si>
  <si>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</si>
  <si>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</si>
  <si>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</si>
  <si>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</si>
  <si>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</si>
  <si>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</si>
  <si>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</si>
  <si>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</si>
  <si>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</si>
  <si>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</si>
  <si>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</si>
  <si>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</si>
  <si>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</si>
  <si>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</si>
  <si>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</si>
  <si>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</si>
  <si>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</si>
  <si>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</si>
  <si>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</si>
  <si>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</si>
  <si>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</si>
  <si>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</si>
  <si>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</si>
  <si>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</si>
  <si>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</si>
  <si>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</si>
  <si>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</si>
  <si>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</si>
  <si>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</si>
  <si>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</si>
  <si>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</si>
  <si>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</si>
  <si>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</si>
  <si>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</si>
  <si>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</si>
  <si>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</si>
  <si>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</si>
  <si>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</si>
  <si>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</si>
  <si>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</si>
  <si>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</si>
  <si>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</si>
  <si>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</si>
  <si>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</si>
  <si>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</si>
  <si>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</si>
  <si>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</si>
  <si>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</si>
  <si>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</si>
  <si>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</si>
  <si>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</si>
  <si>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</si>
  <si>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</si>
  <si>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</si>
  <si>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</si>
  <si>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</si>
  <si>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</si>
  <si>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</si>
  <si>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</si>
  <si>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</si>
  <si>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</si>
  <si>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</si>
  <si>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</si>
  <si>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</si>
  <si>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</si>
  <si>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</si>
  <si>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</si>
  <si>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</si>
  <si>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</si>
  <si>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</si>
  <si>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</si>
  <si>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</si>
  <si>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</si>
  <si>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</si>
  <si>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</si>
  <si>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</si>
  <si>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</si>
  <si>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</si>
  <si>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</si>
  <si>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</si>
  <si>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</si>
  <si>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</si>
  <si>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</si>
  <si>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</si>
  <si>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</si>
  <si>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</si>
  <si>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</si>
  <si>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</si>
  <si>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</si>
  <si>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</si>
  <si>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</si>
  <si>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</si>
  <si>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</si>
  <si>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</si>
  <si>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</si>
  <si>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</si>
  <si>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</si>
  <si>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</si>
  <si>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</si>
  <si>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</si>
  <si>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</si>
  <si>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</si>
  <si>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</si>
  <si>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</si>
  <si>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</si>
  <si>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</si>
  <si>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</si>
  <si>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</si>
  <si>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</si>
  <si>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</si>
  <si>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</si>
  <si>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</si>
  <si>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</si>
  <si>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</si>
  <si>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</si>
  <si>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</si>
  <si>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</si>
  <si>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</si>
  <si>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</si>
  <si>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</si>
  <si>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</si>
  <si>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</si>
  <si>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</si>
  <si>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</si>
  <si>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</si>
  <si>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</si>
  <si>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</si>
  <si>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</si>
  <si>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</si>
  <si>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</si>
  <si>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</si>
  <si>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</si>
  <si>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</si>
  <si>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</si>
  <si>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</si>
  <si>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</si>
  <si>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</si>
  <si>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</si>
  <si>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</si>
  <si>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</si>
  <si>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</si>
  <si>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</si>
  <si>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</si>
  <si>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</si>
  <si>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</si>
  <si>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</si>
  <si>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</si>
  <si>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</si>
  <si>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</si>
  <si>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</si>
  <si>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</si>
  <si>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</si>
  <si>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</si>
  <si>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</si>
  <si>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</si>
  <si>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</si>
  <si>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</si>
  <si>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</si>
  <si>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</si>
  <si>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</si>
  <si>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</si>
  <si>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</si>
  <si>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</si>
  <si>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</si>
  <si>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</si>
  <si>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</si>
  <si>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</si>
  <si>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</si>
  <si>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</si>
  <si>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</si>
  <si>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</si>
  <si>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</si>
  <si>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</si>
  <si>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</si>
  <si>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</si>
  <si>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</si>
  <si>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</si>
  <si>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</si>
  <si>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</si>
  <si>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</si>
  <si>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</si>
  <si>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</si>
  <si>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</si>
  <si>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</si>
  <si>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</si>
  <si>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</si>
  <si>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</si>
  <si>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</si>
  <si>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</si>
  <si>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</si>
  <si>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</si>
  <si>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</si>
  <si>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</si>
  <si>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</si>
  <si>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</si>
  <si>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</si>
  <si>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</si>
  <si>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</si>
  <si>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</si>
  <si>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</si>
  <si>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</si>
  <si>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</si>
  <si>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</si>
  <si>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</si>
  <si>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</si>
  <si>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</si>
  <si>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</si>
  <si>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</si>
  <si>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</si>
  <si>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</si>
  <si>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</si>
  <si>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</si>
  <si>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</si>
  <si>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</si>
  <si>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</si>
  <si>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</si>
  <si>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</si>
  <si>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</si>
  <si>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</si>
  <si>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</si>
  <si>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</si>
  <si>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</si>
  <si>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</si>
  <si>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</si>
  <si>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</si>
  <si>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</si>
  <si>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</si>
  <si>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</si>
  <si>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</si>
  <si>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</si>
  <si>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</si>
  <si>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</si>
  <si>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</si>
  <si>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</si>
  <si>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</si>
  <si>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</si>
  <si>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</si>
  <si>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</si>
  <si>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</si>
  <si>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</si>
  <si>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</si>
  <si>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</si>
  <si>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</si>
  <si>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</si>
  <si>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</si>
  <si>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</si>
  <si>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</si>
  <si>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</si>
  <si>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</si>
  <si>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</si>
  <si>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</si>
  <si>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</si>
  <si>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</si>
  <si>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</si>
  <si>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</si>
  <si>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</si>
  <si>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</si>
  <si>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</si>
  <si>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</si>
  <si>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</si>
  <si>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</si>
  <si>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</si>
  <si>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</si>
  <si>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</si>
  <si>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</si>
  <si>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</si>
  <si>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</si>
  <si>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</si>
  <si>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</si>
  <si>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</si>
  <si>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</si>
  <si>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</si>
  <si>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</si>
  <si>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</si>
  <si>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</si>
  <si>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</si>
  <si>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</si>
  <si>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</si>
  <si>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</si>
  <si>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</si>
  <si>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</si>
  <si>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</si>
  <si>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</si>
  <si>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</si>
  <si>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</si>
  <si>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</si>
  <si>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</si>
  <si>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</si>
  <si>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</si>
  <si>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</si>
  <si>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</si>
  <si>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</si>
  <si>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</si>
  <si>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</si>
  <si>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</si>
  <si>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</si>
  <si>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</si>
  <si>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</si>
  <si>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</si>
  <si>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</si>
  <si>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</si>
  <si>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</si>
  <si>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</si>
  <si>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</si>
  <si>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</si>
  <si>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</si>
  <si>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</si>
  <si>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</si>
  <si>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</si>
  <si>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</si>
  <si>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</si>
  <si>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</si>
  <si>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</si>
  <si>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</si>
  <si>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</si>
  <si>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</si>
  <si>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</si>
  <si>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</si>
  <si>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</si>
  <si>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</si>
  <si>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</si>
  <si>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</si>
  <si>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</si>
  <si>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</si>
  <si>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</si>
  <si>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</si>
  <si>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</si>
  <si>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</si>
  <si>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</si>
  <si>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</si>
  <si>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</si>
  <si>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</si>
  <si>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</si>
  <si>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</si>
  <si>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</si>
  <si>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</si>
  <si>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</si>
  <si>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</si>
  <si>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</si>
  <si>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</si>
  <si>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</si>
  <si>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</si>
  <si>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</si>
  <si>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</si>
  <si>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</si>
  <si>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</si>
  <si>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</si>
  <si>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</si>
  <si>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</si>
  <si>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</si>
  <si>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</si>
  <si>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</si>
  <si>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</si>
  <si>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</si>
  <si>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</si>
  <si>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</si>
  <si>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</si>
  <si>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</si>
  <si>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</si>
  <si>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</si>
  <si>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</si>
  <si>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</si>
  <si>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</si>
  <si>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</si>
  <si>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</si>
  <si>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</si>
  <si>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</si>
  <si>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</si>
  <si>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</si>
  <si>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</si>
  <si>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</si>
  <si>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</si>
  <si>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</si>
  <si>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</si>
  <si>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</si>
  <si>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</si>
  <si>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</si>
  <si>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</si>
  <si>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</si>
  <si>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</si>
  <si>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</si>
  <si>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</si>
  <si>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</si>
  <si>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</si>
  <si>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</si>
  <si>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</si>
  <si>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</si>
  <si>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</si>
  <si>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</si>
  <si>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</si>
  <si>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</si>
  <si>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</si>
  <si>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</si>
  <si>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</si>
  <si>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</si>
  <si>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</si>
  <si>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</si>
  <si>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</si>
  <si>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</si>
  <si>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</si>
  <si>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</si>
  <si>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</si>
  <si>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</si>
  <si>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</si>
  <si>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</si>
  <si>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</si>
  <si>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</si>
  <si>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</si>
  <si>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</si>
  <si>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</si>
  <si>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</si>
  <si>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</si>
  <si>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</si>
  <si>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</si>
  <si>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</si>
  <si>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</si>
  <si>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</si>
  <si>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</si>
  <si>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</si>
  <si>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</si>
  <si>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</si>
  <si>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</si>
  <si>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</si>
  <si>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</si>
  <si>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</si>
  <si>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</si>
  <si>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</si>
  <si>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</si>
  <si>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</si>
  <si>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</si>
  <si>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</si>
  <si>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</si>
  <si>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</si>
  <si>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</si>
  <si>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</si>
  <si>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</si>
  <si>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</si>
  <si>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</si>
  <si>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</si>
  <si>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</si>
  <si>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</si>
  <si>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</si>
  <si>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</si>
  <si>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</si>
  <si>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</si>
  <si>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</si>
  <si>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</si>
  <si>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</si>
  <si>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</si>
  <si>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</si>
  <si>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</si>
  <si>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</si>
  <si>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</si>
  <si>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</si>
  <si>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</si>
  <si>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</si>
  <si>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</si>
  <si>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</si>
  <si>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</si>
  <si>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</si>
  <si>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</si>
  <si>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</si>
  <si>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</si>
  <si>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</si>
  <si>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</si>
  <si>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</si>
  <si>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</si>
  <si>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</si>
  <si>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</si>
  <si>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</si>
  <si>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</si>
  <si>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</si>
  <si>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</si>
  <si>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</si>
  <si>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</si>
  <si>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</si>
  <si>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</si>
  <si>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</si>
  <si>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</si>
  <si>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</si>
  <si>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</si>
  <si>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</si>
  <si>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</si>
  <si>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</si>
  <si>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</si>
  <si>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</si>
  <si>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</si>
  <si>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</si>
  <si>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</si>
  <si>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</si>
  <si>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</si>
  <si>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</si>
  <si>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</si>
  <si>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</si>
  <si>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</si>
  <si>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</si>
  <si>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</si>
  <si>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</si>
  <si>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</si>
  <si>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</si>
  <si>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</si>
  <si>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</si>
  <si>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</si>
  <si>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</si>
  <si>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</si>
  <si>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</si>
  <si>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</si>
  <si>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</si>
  <si>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</si>
  <si>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</si>
  <si>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</si>
  <si>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</si>
  <si>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</si>
  <si>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</si>
  <si>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</si>
  <si>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</si>
  <si>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</si>
  <si>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</si>
  <si>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</si>
  <si>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</si>
  <si>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</si>
  <si>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</si>
  <si>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</si>
  <si>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</si>
  <si>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</si>
  <si>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</si>
  <si>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</si>
  <si>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</si>
  <si>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</si>
  <si>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</si>
  <si>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</si>
  <si>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</si>
  <si>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</si>
  <si>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</si>
  <si>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</si>
  <si>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</si>
  <si>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</si>
  <si>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</si>
  <si>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</si>
  <si>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</si>
  <si>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</si>
  <si>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</si>
  <si>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</si>
  <si>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</si>
  <si>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</si>
  <si>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</si>
  <si>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</si>
  <si>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</si>
  <si>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</si>
  <si>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</si>
  <si>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</si>
  <si>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</si>
  <si>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</si>
  <si>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</si>
  <si>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</si>
  <si>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</si>
  <si>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</si>
  <si>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</si>
  <si>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</si>
  <si>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</si>
  <si>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</si>
  <si>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</si>
  <si>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</si>
  <si>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</si>
  <si>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</si>
  <si>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</si>
  <si>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</si>
  <si>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</si>
  <si>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</si>
  <si>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</si>
  <si>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</si>
  <si>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</si>
  <si>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</si>
  <si>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</si>
  <si>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</si>
  <si>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</si>
  <si>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</si>
  <si>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</si>
  <si>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</si>
  <si>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</si>
  <si>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</si>
  <si>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</si>
  <si>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</si>
  <si>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</si>
  <si>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</si>
  <si>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</si>
  <si>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</si>
  <si>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</si>
  <si>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</si>
  <si>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</si>
  <si>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</si>
  <si>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</si>
  <si>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</si>
  <si>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</si>
  <si>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</si>
  <si>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</si>
  <si>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</si>
  <si>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</si>
  <si>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</si>
  <si>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</si>
  <si>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</si>
  <si>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</si>
  <si>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</si>
  <si>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</si>
  <si>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</si>
  <si>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</si>
  <si>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</si>
  <si>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</si>
  <si>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</si>
  <si>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</si>
  <si>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</si>
  <si>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</si>
  <si>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</si>
  <si>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</si>
  <si>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</si>
  <si>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</si>
  <si>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</si>
  <si>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</si>
  <si>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</si>
  <si>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</si>
  <si>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</si>
  <si>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</si>
  <si>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</si>
  <si>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</si>
  <si>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</si>
  <si>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</si>
  <si>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</si>
  <si>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</si>
  <si>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</si>
  <si>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</si>
  <si>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</si>
  <si>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</si>
  <si>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</si>
  <si>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</si>
  <si>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</si>
  <si>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</si>
  <si>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</si>
  <si>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</si>
  <si>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</si>
  <si>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</si>
  <si>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</si>
  <si>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</si>
  <si>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</si>
  <si>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</si>
  <si>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</si>
  <si>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</si>
  <si>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</si>
  <si>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</si>
  <si>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</si>
  <si>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</si>
  <si>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</si>
  <si>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</si>
  <si>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</si>
  <si>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</si>
  <si>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</si>
  <si>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</si>
  <si>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</si>
  <si>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</si>
  <si>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</si>
  <si>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</si>
  <si>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</si>
  <si>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</si>
  <si>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</si>
  <si>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</si>
  <si>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</si>
  <si>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</si>
  <si>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</si>
  <si>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</si>
  <si>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</si>
  <si>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</si>
  <si>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</si>
  <si>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</si>
  <si>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</si>
  <si>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</si>
  <si>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</si>
  <si>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</si>
  <si>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</si>
  <si>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</si>
  <si>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</si>
  <si>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</si>
  <si>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</si>
  <si>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</si>
  <si>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</si>
  <si>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</si>
  <si>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</si>
  <si>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</si>
  <si>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</si>
  <si>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</si>
  <si>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</si>
  <si>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</si>
  <si>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</si>
  <si>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</si>
  <si>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</si>
  <si>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</si>
  <si>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</si>
  <si>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</si>
  <si>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</si>
  <si>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</si>
  <si>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</si>
  <si>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</si>
  <si>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</si>
  <si>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</si>
  <si>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</si>
  <si>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</si>
  <si>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</si>
  <si>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</si>
  <si>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</si>
  <si>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</si>
  <si>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</si>
  <si>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</si>
  <si>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</si>
  <si>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</si>
  <si>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</si>
  <si>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</si>
  <si>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</si>
  <si>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</si>
  <si>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</si>
  <si>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</si>
  <si>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</si>
  <si>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</si>
  <si>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</si>
  <si>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</si>
  <si>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</si>
  <si>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</si>
  <si>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</si>
  <si>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</si>
  <si>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</si>
  <si>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</si>
  <si>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</si>
  <si>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</si>
  <si>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</si>
  <si>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</si>
  <si>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</si>
  <si>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</si>
  <si>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</si>
  <si>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</si>
  <si>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</si>
  <si>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</si>
  <si>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</si>
  <si>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</si>
  <si>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</si>
  <si>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</si>
  <si>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</si>
  <si>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</si>
  <si>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</si>
  <si>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</si>
  <si>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</si>
  <si>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</si>
  <si>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</si>
  <si>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</si>
  <si>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</si>
  <si>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</si>
  <si>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</si>
  <si>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</si>
  <si>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</si>
  <si>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</si>
  <si>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</si>
  <si>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</si>
  <si>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</si>
  <si>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</si>
  <si>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</si>
  <si>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</si>
  <si>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</si>
  <si>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</si>
  <si>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</si>
  <si>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</si>
  <si>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</si>
  <si>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</si>
  <si>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</si>
  <si>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</si>
  <si>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</si>
  <si>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</si>
  <si>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</si>
  <si>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</si>
  <si>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</si>
  <si>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</si>
  <si>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</si>
  <si>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</si>
  <si>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</si>
  <si>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</si>
  <si>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</si>
  <si>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</si>
  <si>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</si>
  <si>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</si>
  <si>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</si>
  <si>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</si>
  <si>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</si>
  <si>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</si>
  <si>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</si>
  <si>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</si>
  <si>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</si>
  <si>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</si>
  <si>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</si>
  <si>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</si>
  <si>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</si>
  <si>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</si>
  <si>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</si>
  <si>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</si>
  <si>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</si>
  <si>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</si>
  <si>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</si>
  <si>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</si>
  <si>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</si>
  <si>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</si>
  <si>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</si>
  <si>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</si>
  <si>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</si>
  <si>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</si>
  <si>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</si>
  <si>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</si>
  <si>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</si>
  <si>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</si>
  <si>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</si>
  <si>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</si>
  <si>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</si>
  <si>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</si>
  <si>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</si>
  <si>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</si>
  <si>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</si>
  <si>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</si>
  <si>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</si>
  <si>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</si>
  <si>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</si>
  <si>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</si>
  <si>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</si>
  <si>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</si>
  <si>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</si>
  <si>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</si>
  <si>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</si>
  <si>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</si>
  <si>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</si>
  <si>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</si>
  <si>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</si>
  <si>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</si>
  <si>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</si>
  <si>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</si>
  <si>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</si>
  <si>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</si>
  <si>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</si>
  <si>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</si>
  <si>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</si>
  <si>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</si>
  <si>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</si>
  <si>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</si>
  <si>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</si>
  <si>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</si>
  <si>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</si>
  <si>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</si>
  <si>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</si>
  <si>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</si>
  <si>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</si>
  <si>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</si>
  <si>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</si>
  <si>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</si>
  <si>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</si>
  <si>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</si>
  <si>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</si>
  <si>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</si>
  <si>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</si>
  <si>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</si>
  <si>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</si>
  <si>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</si>
  <si>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</si>
  <si>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</si>
  <si>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</si>
  <si>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</si>
  <si>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</si>
  <si>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</si>
  <si>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</si>
  <si>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</si>
  <si>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</si>
  <si>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</si>
  <si>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</si>
  <si>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</si>
  <si>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</si>
  <si>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</si>
  <si>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</si>
  <si>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</si>
  <si>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</si>
  <si>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</si>
  <si>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</si>
  <si>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</si>
  <si>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</si>
  <si>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</si>
  <si>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</si>
  <si>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</si>
  <si>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</si>
  <si>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</si>
  <si>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</si>
  <si>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</si>
  <si>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</si>
  <si>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</si>
  <si>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</si>
  <si>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</si>
  <si>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</si>
  <si>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</si>
  <si>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</si>
  <si>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</si>
  <si>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</si>
  <si>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</si>
  <si>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</si>
  <si>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</si>
  <si>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</si>
  <si>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</si>
  <si>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</si>
  <si>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</si>
  <si>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</si>
  <si>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</si>
  <si>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</si>
  <si>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</si>
  <si>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</si>
  <si>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</si>
  <si>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</si>
  <si>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</si>
  <si>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</si>
  <si>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</si>
  <si>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</si>
  <si>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</si>
  <si>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</si>
  <si>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</si>
  <si>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</si>
  <si>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</si>
  <si>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</si>
  <si>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</si>
  <si>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</si>
  <si>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</si>
  <si>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</si>
  <si>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</si>
  <si>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</si>
  <si>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</si>
  <si>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</si>
  <si>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</si>
  <si>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</si>
  <si>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</si>
  <si>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</si>
  <si>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</si>
  <si>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</si>
  <si>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</si>
  <si>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</si>
  <si>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</si>
  <si>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</si>
  <si>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</si>
  <si>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</si>
  <si>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</si>
  <si>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</si>
  <si>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</si>
  <si>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</si>
  <si>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</si>
  <si>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</si>
  <si>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</si>
  <si>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</si>
  <si>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</si>
  <si>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</si>
  <si>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</si>
  <si>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</si>
  <si>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</si>
  <si>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</si>
  <si>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</si>
  <si>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</si>
  <si>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</si>
  <si>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</si>
  <si>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</si>
  <si>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</si>
  <si>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</si>
  <si>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</si>
  <si>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</si>
  <si>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</si>
  <si>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</si>
  <si>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</si>
  <si>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</si>
  <si>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</si>
  <si>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</si>
  <si>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</si>
  <si>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</si>
  <si>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</si>
  <si>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</si>
  <si>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</si>
  <si>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</si>
  <si>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</si>
  <si>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</si>
  <si>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</si>
  <si>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</si>
  <si>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</si>
  <si>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</si>
  <si>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</si>
  <si>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</si>
  <si>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</si>
  <si>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</si>
  <si>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</si>
  <si>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</si>
  <si>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</si>
  <si>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</si>
  <si>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</si>
  <si>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</si>
  <si>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</si>
  <si>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</si>
  <si>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</si>
  <si>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</si>
  <si>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</si>
  <si>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</si>
  <si>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</si>
  <si>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</si>
  <si>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</si>
  <si>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</si>
  <si>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</si>
  <si>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</si>
  <si>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</si>
  <si>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</si>
  <si>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</si>
  <si>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</si>
  <si>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</si>
  <si>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</si>
  <si>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</si>
  <si>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</si>
  <si>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</si>
  <si>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</si>
  <si>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</si>
  <si>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</si>
  <si>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</si>
  <si>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</si>
  <si>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</si>
  <si>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</si>
  <si>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</si>
  <si>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</si>
  <si>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</si>
  <si>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</si>
  <si>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</si>
  <si>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</si>
  <si>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</si>
  <si>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</si>
  <si>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</si>
  <si>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</si>
  <si>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</si>
  <si>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</si>
  <si>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</si>
  <si>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</si>
  <si>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</si>
  <si>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</si>
  <si>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</si>
  <si>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</si>
  <si>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</si>
  <si>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</si>
  <si>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</si>
  <si>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</si>
  <si>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</si>
  <si>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</si>
  <si>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</si>
  <si>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</si>
  <si>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</si>
  <si>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</si>
  <si>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</si>
  <si>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</si>
  <si>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</si>
  <si>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</si>
  <si>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</si>
  <si>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</si>
  <si>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</si>
  <si>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</si>
  <si>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</si>
  <si>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</si>
  <si>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</si>
  <si>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</si>
  <si>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</si>
  <si>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</si>
  <si>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</si>
  <si>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</si>
  <si>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</si>
  <si>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</si>
  <si>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</si>
  <si>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</si>
  <si>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</si>
  <si>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</si>
  <si>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</si>
  <si>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</si>
  <si>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</si>
  <si>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</si>
  <si>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</si>
  <si>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</si>
  <si>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</si>
  <si>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</si>
  <si>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</si>
  <si>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</si>
  <si>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</si>
  <si>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</si>
  <si>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</si>
  <si>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</si>
  <si>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</si>
  <si>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</si>
  <si>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</si>
  <si>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</si>
  <si>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</si>
  <si>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</si>
  <si>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</si>
  <si>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</si>
  <si>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</si>
  <si>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</si>
  <si>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</si>
  <si>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</si>
  <si>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</si>
  <si>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</si>
  <si>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</si>
  <si>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</si>
  <si>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</si>
  <si>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</si>
  <si>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</si>
  <si>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</si>
  <si>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</si>
  <si>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</si>
  <si>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</si>
  <si>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</si>
  <si>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</si>
  <si>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</si>
  <si>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</si>
  <si>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</si>
  <si>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</si>
  <si>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</si>
  <si>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</si>
  <si>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</si>
  <si>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</si>
  <si>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</si>
  <si>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</si>
  <si>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</si>
  <si>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</si>
  <si>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</si>
  <si>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</si>
  <si>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</si>
  <si>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</si>
  <si>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</si>
  <si>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</si>
  <si>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</si>
  <si>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</si>
  <si>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</si>
  <si>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</si>
  <si>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</si>
  <si>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</si>
  <si>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</si>
  <si>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</si>
  <si>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</si>
  <si>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</si>
  <si>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</si>
  <si>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</si>
  <si>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</si>
  <si>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</si>
  <si>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</si>
  <si>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</si>
  <si>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</si>
  <si>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</si>
  <si>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</si>
  <si>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</si>
  <si>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</si>
  <si>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</si>
  <si>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</si>
  <si>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</si>
  <si>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</si>
  <si>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</si>
  <si>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</si>
  <si>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</si>
  <si>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</si>
  <si>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</si>
  <si>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</si>
  <si>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</si>
  <si>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</si>
  <si>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</si>
  <si>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</si>
  <si>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</si>
  <si>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</si>
  <si>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</si>
  <si>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</si>
  <si>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</si>
  <si>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</si>
  <si>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</si>
  <si>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</si>
  <si>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</si>
  <si>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</si>
  <si>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</si>
  <si>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</si>
  <si>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</si>
  <si>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</si>
  <si>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</si>
  <si>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</si>
  <si>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</si>
  <si>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</si>
  <si>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</si>
  <si>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</si>
  <si>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</si>
  <si>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</si>
  <si>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</si>
  <si>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</si>
  <si>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</si>
  <si>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</si>
  <si>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</si>
  <si>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</si>
  <si>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</si>
  <si>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</si>
  <si>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</si>
  <si>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</si>
  <si>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</si>
  <si>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</si>
  <si>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</si>
  <si>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</si>
  <si>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</si>
  <si>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</si>
  <si>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</si>
  <si>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</si>
  <si>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</si>
  <si>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</si>
  <si>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</si>
  <si>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</si>
  <si>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</si>
  <si>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</si>
  <si>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</si>
  <si>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</si>
  <si>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</si>
  <si>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</si>
  <si>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</si>
  <si>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</si>
  <si>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</si>
  <si>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</si>
  <si>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</si>
  <si>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</si>
  <si>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</si>
  <si>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</si>
  <si>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</si>
  <si>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</si>
  <si>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</si>
  <si>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</si>
  <si>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</si>
  <si>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</si>
  <si>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</si>
  <si>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</si>
  <si>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</si>
  <si>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</si>
  <si>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</si>
  <si>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</si>
  <si>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</si>
  <si>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</si>
  <si>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</si>
  <si>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</si>
  <si>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</si>
  <si>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</si>
  <si>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</si>
  <si>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</si>
  <si>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</si>
  <si>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</si>
  <si>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</si>
  <si>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</si>
  <si>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</si>
  <si>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</si>
  <si>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</si>
  <si>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</si>
  <si>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</si>
  <si>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</si>
  <si>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</si>
  <si>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</si>
  <si>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</si>
  <si>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</si>
  <si>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</si>
  <si>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</si>
  <si>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</si>
  <si>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</si>
  <si>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</si>
  <si>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</si>
  <si>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</si>
  <si>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</si>
  <si>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</si>
  <si>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</si>
  <si>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</si>
  <si>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</si>
  <si>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</si>
  <si>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</si>
  <si>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</si>
  <si>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</si>
  <si>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</si>
  <si>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</si>
  <si>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</si>
  <si>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</si>
  <si>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</si>
  <si>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</si>
  <si>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</si>
  <si>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</si>
  <si>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</si>
  <si>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</si>
  <si>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</si>
  <si>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</si>
  <si>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</si>
  <si>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</si>
  <si>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</si>
  <si>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</si>
  <si>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</si>
  <si>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</si>
  <si>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</si>
  <si>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</si>
  <si>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</si>
  <si>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</si>
  <si>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</si>
  <si>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</si>
  <si>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</si>
  <si>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</si>
  <si>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</si>
  <si>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</si>
  <si>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</si>
  <si>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</si>
  <si>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</si>
  <si>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</si>
  <si>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</si>
  <si>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</si>
  <si>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</si>
  <si>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</si>
  <si>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</si>
  <si>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</si>
  <si>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</si>
  <si>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</si>
  <si>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</si>
  <si>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</si>
  <si>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</si>
  <si>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</si>
  <si>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</si>
  <si>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</si>
  <si>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</si>
  <si>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</si>
  <si>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</si>
  <si>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</si>
  <si>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</si>
  <si>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</si>
  <si>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</si>
  <si>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</si>
  <si>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</si>
  <si>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</si>
  <si>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</si>
  <si>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</si>
  <si>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</si>
  <si>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</si>
  <si>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</si>
  <si>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</si>
  <si>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</si>
  <si>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</si>
  <si>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</si>
  <si>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</si>
  <si>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</si>
  <si>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</si>
  <si>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</si>
  <si>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</si>
  <si>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</si>
  <si>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</si>
  <si>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</si>
  <si>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</si>
  <si>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</si>
  <si>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</si>
  <si>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</si>
  <si>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</si>
  <si>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</si>
  <si>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</si>
  <si>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</si>
  <si>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</si>
  <si>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</si>
  <si>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</si>
  <si>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</si>
  <si>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</si>
  <si>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</si>
  <si>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</si>
  <si>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</si>
  <si>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</si>
  <si>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</si>
  <si>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</si>
  <si>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</si>
  <si>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</si>
  <si>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</si>
  <si>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</si>
  <si>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</si>
  <si>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</si>
  <si>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</si>
  <si>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</si>
  <si>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</si>
  <si>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</si>
  <si>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</si>
  <si>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</si>
  <si>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</si>
  <si>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</si>
  <si>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</si>
  <si>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</si>
  <si>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</si>
  <si>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</si>
  <si>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</si>
  <si>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</si>
  <si>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</si>
  <si>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</si>
  <si>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</si>
  <si>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</si>
  <si>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</si>
  <si>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</si>
  <si>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</si>
  <si>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</si>
  <si>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</si>
  <si>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</si>
  <si>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</si>
  <si>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</si>
  <si>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</si>
  <si>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</si>
  <si>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</si>
  <si>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</si>
  <si>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</si>
  <si>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</si>
  <si>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</si>
  <si>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</si>
  <si>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</si>
  <si>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</si>
  <si>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</si>
  <si>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</si>
  <si>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</si>
  <si>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</si>
  <si>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</si>
  <si>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</si>
  <si>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</si>
  <si>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</si>
  <si>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</si>
  <si>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</si>
  <si>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</si>
  <si>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</si>
  <si>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</si>
  <si>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</si>
  <si>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</si>
  <si>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</si>
  <si>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</si>
  <si>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</si>
  <si>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</si>
  <si>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</si>
  <si>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</si>
  <si>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</si>
  <si>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</si>
  <si>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</si>
  <si>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</si>
  <si>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</si>
  <si>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</si>
  <si>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</si>
  <si>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</si>
  <si>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</si>
  <si>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</si>
  <si>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</si>
  <si>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</si>
  <si>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</si>
  <si>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</si>
  <si>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</si>
  <si>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</si>
  <si>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</si>
  <si>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</si>
  <si>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</si>
  <si>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</si>
  <si>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</si>
  <si>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</si>
  <si>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</si>
  <si>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</si>
  <si>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</si>
  <si>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</si>
  <si>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</si>
  <si>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</si>
  <si>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</si>
  <si>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</si>
  <si>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</si>
  <si>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</si>
  <si>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</si>
  <si>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</si>
  <si>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</si>
  <si>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</si>
  <si>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</si>
  <si>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</si>
  <si>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</si>
  <si>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</si>
  <si>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</si>
  <si>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</si>
  <si>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</si>
  <si>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</si>
  <si>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</si>
  <si>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</si>
  <si>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</si>
  <si>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</si>
  <si>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</si>
  <si>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</si>
  <si>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</si>
  <si>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</si>
  <si>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</si>
  <si>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</si>
  <si>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</si>
  <si>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</si>
  <si>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</si>
  <si>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</si>
  <si>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</si>
  <si>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</si>
  <si>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</si>
  <si>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</si>
  <si>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</si>
  <si>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</si>
  <si>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</si>
  <si>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</si>
  <si>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</si>
  <si>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</si>
  <si>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</si>
  <si>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</si>
  <si>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</si>
  <si>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</si>
  <si>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</si>
  <si>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</si>
  <si>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</si>
  <si>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</si>
  <si>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</si>
  <si>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</si>
  <si>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</si>
  <si>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</si>
  <si>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</si>
  <si>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</si>
  <si>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</si>
  <si>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</si>
  <si>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</si>
  <si>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</si>
  <si>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</si>
  <si>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</si>
  <si>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</si>
  <si>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</si>
  <si>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</si>
  <si>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</si>
  <si>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</si>
  <si>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</si>
  <si>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</si>
  <si>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</si>
  <si>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</si>
  <si>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</si>
  <si>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</si>
  <si>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</si>
  <si>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</si>
  <si>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</si>
  <si>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</si>
  <si>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</si>
  <si>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</si>
  <si>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</si>
  <si>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</si>
  <si>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</si>
  <si>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</si>
  <si>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</si>
  <si>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</si>
  <si>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</si>
  <si>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</si>
  <si>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</si>
  <si>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</si>
  <si>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</si>
  <si>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</si>
  <si>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</si>
  <si>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</si>
  <si>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</si>
  <si>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</si>
  <si>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</si>
  <si>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</si>
  <si>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</si>
  <si>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</si>
  <si>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</si>
  <si>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</si>
  <si>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</si>
  <si>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</si>
  <si>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</si>
  <si>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</si>
  <si>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</si>
  <si>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</si>
  <si>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</si>
  <si>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</si>
  <si>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</si>
  <si>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</si>
  <si>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</si>
  <si>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</si>
  <si>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</si>
  <si>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</si>
  <si>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</si>
  <si>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</si>
  <si>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</si>
  <si>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</si>
  <si>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</si>
  <si>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</si>
  <si>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</si>
  <si>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</si>
  <si>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</si>
  <si>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</si>
  <si>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</si>
  <si>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</si>
  <si>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</si>
  <si>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</si>
  <si>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</si>
  <si>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</si>
  <si>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</si>
  <si>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</si>
  <si>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</si>
  <si>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</si>
  <si>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</si>
  <si>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</si>
  <si>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</si>
  <si>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</si>
  <si>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</si>
  <si>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</si>
  <si>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</si>
  <si>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</si>
  <si>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</si>
  <si>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</si>
  <si>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</si>
  <si>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</si>
  <si>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</si>
  <si>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</si>
  <si>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</si>
  <si>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</si>
  <si>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</si>
  <si>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</si>
  <si>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</si>
  <si>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</si>
  <si>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</si>
  <si>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</si>
  <si>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</si>
  <si>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</si>
  <si>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</si>
  <si>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</si>
  <si>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</si>
  <si>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</si>
  <si>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</si>
  <si>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</si>
  <si>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</si>
  <si>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</si>
  <si>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</si>
  <si>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</si>
  <si>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</si>
  <si>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</si>
  <si>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</si>
  <si>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</si>
  <si>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</si>
  <si>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</si>
  <si>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</si>
  <si>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</si>
  <si>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</si>
  <si>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</si>
  <si>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</si>
  <si>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</si>
  <si>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</si>
  <si>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</si>
  <si>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</si>
  <si>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</si>
  <si>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</si>
  <si>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</si>
  <si>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</si>
  <si>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</si>
  <si>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</si>
  <si>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</si>
  <si>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</si>
  <si>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</si>
  <si>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</si>
  <si>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</si>
  <si>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</si>
  <si>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</si>
  <si>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</si>
  <si>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</si>
  <si>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</si>
  <si>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</si>
  <si>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</si>
  <si>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</si>
  <si>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</si>
  <si>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</si>
  <si>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</si>
  <si>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</si>
  <si>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</si>
  <si>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</si>
  <si>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</si>
  <si>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</si>
  <si>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</si>
  <si>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</si>
  <si>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</si>
  <si>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</si>
  <si>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</si>
  <si>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</si>
  <si>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</si>
  <si>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</si>
  <si>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</si>
  <si>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</si>
  <si>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</si>
  <si>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</si>
  <si>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</si>
  <si>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</si>
  <si>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</si>
  <si>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</si>
  <si>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</si>
  <si>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</si>
  <si>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</si>
  <si>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</si>
  <si>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</si>
  <si>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</si>
  <si>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</si>
  <si>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</si>
  <si>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</si>
  <si>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</si>
  <si>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</si>
  <si>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</si>
  <si>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</si>
  <si>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</si>
  <si>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</si>
  <si>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</si>
  <si>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</si>
  <si>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</si>
  <si>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</si>
  <si>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</si>
  <si>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</si>
  <si>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</si>
  <si>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</si>
  <si>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</si>
  <si>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</si>
  <si>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</si>
  <si>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</si>
  <si>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</si>
  <si>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</si>
  <si>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</si>
  <si>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</si>
  <si>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</si>
  <si>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</si>
  <si>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</si>
  <si>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</si>
  <si>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</si>
  <si>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</si>
  <si>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</si>
  <si>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</si>
  <si>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</si>
  <si>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</si>
  <si>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</si>
  <si>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</si>
  <si>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</si>
  <si>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</si>
  <si>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</si>
  <si>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</si>
  <si>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</si>
  <si>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</si>
  <si>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</si>
  <si>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</si>
  <si>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</si>
  <si>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</si>
  <si>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</si>
  <si>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</si>
  <si>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</si>
  <si>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</si>
  <si>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</si>
  <si>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</si>
  <si>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</si>
  <si>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</si>
  <si>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</si>
  <si>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</si>
  <si>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</si>
  <si>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</si>
  <si>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</si>
  <si>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</si>
  <si>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</si>
  <si>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</si>
  <si>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</si>
  <si>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</si>
  <si>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</si>
  <si>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</si>
  <si>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</si>
  <si>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</si>
  <si>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</si>
  <si>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</si>
  <si>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</si>
  <si>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</si>
  <si>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</si>
  <si>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</si>
  <si>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</si>
  <si>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</si>
  <si>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</si>
  <si>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</si>
  <si>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</si>
  <si>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</si>
  <si>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</si>
  <si>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</si>
  <si>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</si>
  <si>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</si>
  <si>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</si>
  <si>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</si>
  <si>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</si>
  <si>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</si>
  <si>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</si>
  <si>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</si>
  <si>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</si>
  <si>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</si>
  <si>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</si>
  <si>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</si>
  <si>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</si>
  <si>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</si>
  <si>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</si>
  <si>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</si>
  <si>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</si>
  <si>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</si>
  <si>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</si>
  <si>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</si>
  <si>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</si>
  <si>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</si>
  <si>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</si>
  <si>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</si>
  <si>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</si>
  <si>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</si>
  <si>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</si>
  <si>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</si>
  <si>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</si>
  <si>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</si>
  <si>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</si>
  <si>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</si>
  <si>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</si>
  <si>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</si>
  <si>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</si>
  <si>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</si>
  <si>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</si>
  <si>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</si>
  <si>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</si>
  <si>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</si>
  <si>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</si>
  <si>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</si>
  <si>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</si>
  <si>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</si>
  <si>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</si>
  <si>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</si>
  <si>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</si>
  <si>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</si>
  <si>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</si>
  <si>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</si>
  <si>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</si>
  <si>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</si>
  <si>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</si>
  <si>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</si>
  <si>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</si>
  <si>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</si>
  <si>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</si>
  <si>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</si>
  <si>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</si>
  <si>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</si>
  <si>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</si>
  <si>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</si>
  <si>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</si>
  <si>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</si>
  <si>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</si>
  <si>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</si>
  <si>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</si>
  <si>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</si>
  <si>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</si>
  <si>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</si>
  <si>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</si>
  <si>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</si>
  <si>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</si>
  <si>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</si>
  <si>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</si>
  <si>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</si>
  <si>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</si>
  <si>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</si>
  <si>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</si>
  <si>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</si>
  <si>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</si>
  <si>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</si>
  <si>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</si>
  <si>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</si>
  <si>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</si>
  <si>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</si>
  <si>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</si>
  <si>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</si>
  <si>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</si>
  <si>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</si>
  <si>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</si>
  <si>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</si>
  <si>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</si>
  <si>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</si>
  <si>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</si>
  <si>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</si>
  <si>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</si>
  <si>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</si>
  <si>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</si>
  <si>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</si>
  <si>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</si>
  <si>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</si>
  <si>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</si>
  <si>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</si>
  <si>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</si>
  <si>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</si>
  <si>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</si>
  <si>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</si>
  <si>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</si>
  <si>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</si>
  <si>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</si>
  <si>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</si>
  <si>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</si>
  <si>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</si>
  <si>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</si>
  <si>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</si>
  <si>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</si>
  <si>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</si>
  <si>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</si>
  <si>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</si>
  <si>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</si>
  <si>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</si>
  <si>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</si>
  <si>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</si>
  <si>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</si>
  <si>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</si>
  <si>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</si>
  <si>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</si>
  <si>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</si>
  <si>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</si>
  <si>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</si>
  <si>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</si>
  <si>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</si>
  <si>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</si>
  <si>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</si>
  <si>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</si>
  <si>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</si>
  <si>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</si>
  <si>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</si>
  <si>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</si>
  <si>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</si>
  <si>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</si>
  <si>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</si>
  <si>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</si>
  <si>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</si>
  <si>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</si>
  <si>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</si>
  <si>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</si>
  <si>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</si>
  <si>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</si>
  <si>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</si>
  <si>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</si>
  <si>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</si>
  <si>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</si>
  <si>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</si>
  <si>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</si>
  <si>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</si>
  <si>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</si>
  <si>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</si>
  <si>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</si>
  <si>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</si>
  <si>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</si>
  <si>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</si>
  <si>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</si>
  <si>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</si>
  <si>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</si>
  <si>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</si>
  <si>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</si>
  <si>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</si>
  <si>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</si>
  <si>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</si>
  <si>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</si>
  <si>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</si>
  <si>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</si>
  <si>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</si>
  <si>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</si>
  <si>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</si>
  <si>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</si>
  <si>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</si>
  <si>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</si>
  <si>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</si>
  <si>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</si>
  <si>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</si>
  <si>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</si>
  <si>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</si>
  <si>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</si>
  <si>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</si>
  <si>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</si>
  <si>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</si>
  <si>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</si>
  <si>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</si>
  <si>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</si>
  <si>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</si>
  <si>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</si>
  <si>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</si>
  <si>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</si>
  <si>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</si>
  <si>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</si>
  <si>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</si>
  <si>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</si>
  <si>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</si>
  <si>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</si>
  <si>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</si>
  <si>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</si>
  <si>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</si>
  <si>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</si>
  <si>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</si>
  <si>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</si>
  <si>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</si>
  <si>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</si>
  <si>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</si>
  <si>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</si>
  <si>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</si>
  <si>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</si>
  <si>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</si>
  <si>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</si>
  <si>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</si>
  <si>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</si>
  <si>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</si>
  <si>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</si>
  <si>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</si>
  <si>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</si>
  <si>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</si>
  <si>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</si>
  <si>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</si>
  <si>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</si>
  <si>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</si>
  <si>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</si>
  <si>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</si>
  <si>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</si>
  <si>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</si>
  <si>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</si>
  <si>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</si>
  <si>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</si>
  <si>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</si>
  <si>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</si>
  <si>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</si>
  <si>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</si>
  <si>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</si>
  <si>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</si>
  <si>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</si>
  <si>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</si>
  <si>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</si>
  <si>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</si>
  <si>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</si>
  <si>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</si>
  <si>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</si>
  <si>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</si>
  <si>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</t>
  </si>
  <si>
    <t>Average Pledged</t>
  </si>
  <si>
    <t>Row Labels</t>
  </si>
  <si>
    <t>Grand Total</t>
  </si>
  <si>
    <t>Column Labels</t>
  </si>
  <si>
    <t>(All)</t>
  </si>
  <si>
    <t>Count of outcomes</t>
  </si>
  <si>
    <t>Parent Category</t>
  </si>
  <si>
    <t>Date Created Conversion</t>
  </si>
  <si>
    <t>Date Finished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</si>
  <si>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</si>
  <si>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</si>
  <si>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</si>
  <si>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</si>
  <si>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</si>
  <si>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</si>
  <si>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</si>
  <si>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</si>
  <si>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</si>
  <si>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</si>
  <si>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</si>
  <si>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</si>
  <si>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</si>
  <si>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</si>
  <si>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</si>
  <si>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</si>
  <si>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</si>
  <si>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</si>
  <si>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</si>
  <si>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</si>
  <si>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</si>
  <si>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</si>
  <si>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</si>
  <si>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</si>
  <si>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</si>
  <si>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</si>
  <si>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</si>
  <si>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</si>
  <si>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</si>
  <si>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</si>
  <si>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Greater than 50000</t>
  </si>
  <si>
    <t>35000 to 39999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</si>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</sst>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Roboto"/>
    </font>
    <font>
      <sz val="8"/>
      <name val="Calibri"/>
      <family val="2"/>
      <scheme val="minor"/>
    </font>
    <font>
      <sz val="11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 vertical="center" indent="1"/>
    </xf>
    <xf numFmtId="0" fontId="0" fillId="0" borderId="0" xfId="0" pivotButton="1" applyFont="1"/>
    <xf numFmtId="0" fontId="0" fillId="0" borderId="0" xfId="0" applyFont="1"/>
    <xf numFmtId="166" fontId="0" fillId="0" borderId="0" xfId="0" applyNumberFormat="1" applyFont="1" applyAlignment="1">
      <alignment horizontal="left"/>
    </xf>
    <xf numFmtId="0" fontId="0" fillId="0" borderId="0" xfId="0" applyNumberFormat="1" applyFont="1"/>
    <xf numFmtId="0" fontId="5" fillId="0" borderId="0" xfId="0" applyFont="1" applyAlignment="1">
      <alignment horizontal="left" vertical="center" wrapText="1" indent="1"/>
    </xf>
    <xf numFmtId="0" fontId="0" fillId="2" borderId="0" xfId="0" applyFill="1"/>
  </cellXfs>
  <cellStyles count="1">
    <cellStyle name="Normal" xfId="0" builtinId="0"/>
  </cellStyles>
  <dxfs count="11"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0utcomes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8B-4B3D-8AFE-86926A4994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8B-4B3D-8AFE-86926A4994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8B-4B3D-8AFE-86926A499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152512"/>
        <c:axId val="822150848"/>
      </c:lineChart>
      <c:catAx>
        <c:axId val="82215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50848"/>
        <c:crosses val="autoZero"/>
        <c:auto val="1"/>
        <c:lblAlgn val="ctr"/>
        <c:lblOffset val="100"/>
        <c:noMultiLvlLbl val="0"/>
      </c:catAx>
      <c:valAx>
        <c:axId val="8221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5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General</c:formatCode>
                <c:ptCount val="11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00-4101-9E70-125DDD63BEB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General</c:formatCode>
                <c:ptCount val="11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00-4101-9E70-125DDD63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052527"/>
        <c:axId val="12480529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C00-4101-9E70-125DDD63BEB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C00-4101-9E70-125DDD63BEB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C00-4101-9E70-125DDD63BEB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C00-4101-9E70-125DDD63BEB9}"/>
                  </c:ext>
                </c:extLst>
              </c15:ser>
            </c15:filteredLineSeries>
          </c:ext>
        </c:extLst>
      </c:lineChart>
      <c:catAx>
        <c:axId val="124805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52943"/>
        <c:crosses val="autoZero"/>
        <c:auto val="1"/>
        <c:lblAlgn val="ctr"/>
        <c:lblOffset val="100"/>
        <c:noMultiLvlLbl val="0"/>
      </c:catAx>
      <c:valAx>
        <c:axId val="124805294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0">
            <a:solidFill>
              <a:srgbClr val="FFFF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5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607633420822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bar"/>
        <c:varyColors val="1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EC1-4F5D-8821-42C5BB987B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C1-4F5D-8821-42C5BB987B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C1-4F5D-8821-42C5BB987B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EC1-4F5D-8821-42C5BB987B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EC1-4F5D-8821-42C5BB987B7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EC1-4F5D-8821-42C5BB987B7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EC1-4F5D-8821-42C5BB987B7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EC1-4F5D-8821-42C5BB987B7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EC1-4F5D-8821-42C5BB987B7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EC1-4F5D-8821-42C5BB987B7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7EC1-4F5D-8821-42C5BB987B7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7EC1-4F5D-8821-42C5BB987B7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Goals'!$B$2:$B$12</c:f>
              <c:numCache>
                <c:formatCode>General</c:formatCode>
                <c:ptCount val="11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6-4E79-963E-24708A49D8D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serLines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7EC1-4F5D-8821-42C5BB987B7E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7EC1-4F5D-8821-42C5BB987B7E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7EC1-4F5D-8821-42C5BB987B7E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7EC1-4F5D-8821-42C5BB987B7E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7EC1-4F5D-8821-42C5BB987B7E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7EC1-4F5D-8821-42C5BB987B7E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5-7EC1-4F5D-8821-42C5BB987B7E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2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7EC1-4F5D-8821-42C5BB987B7E}"/>
                    </c:ext>
                  </c:extLst>
                </c:dPt>
                <c:dPt>
                  <c:idx val="8"/>
                  <c:bubble3D val="0"/>
                  <c:spPr>
                    <a:solidFill>
                      <a:schemeClr val="accent3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9-7EC1-4F5D-8821-42C5BB987B7E}"/>
                    </c:ext>
                  </c:extLst>
                </c:dPt>
                <c:dPt>
                  <c:idx val="9"/>
                  <c:bubble3D val="0"/>
                  <c:spPr>
                    <a:solidFill>
                      <a:schemeClr val="accent4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7EC1-4F5D-8821-42C5BB987B7E}"/>
                    </c:ext>
                  </c:extLst>
                </c:dPt>
                <c:dPt>
                  <c:idx val="10"/>
                  <c:bubble3D val="0"/>
                  <c:spPr>
                    <a:solidFill>
                      <a:schemeClr val="accent5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D-7EC1-4F5D-8821-42C5BB987B7E}"/>
                    </c:ext>
                  </c:extLst>
                </c:dPt>
                <c:dPt>
                  <c:idx val="11"/>
                  <c:bubble3D val="0"/>
                  <c:spPr>
                    <a:solidFill>
                      <a:schemeClr val="accent6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7EC1-4F5D-8821-42C5BB987B7E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836-4E79-963E-24708A49D8DB}"/>
                  </c:ext>
                </c:extLst>
              </c15:ser>
            </c15:filteredPieSeries>
          </c:ext>
        </c:extLst>
      </c:of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4814085739283"/>
          <c:y val="6.0703193350831158E-2"/>
          <c:w val="0.24385192475940506"/>
          <c:h val="0.9016258384368620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bar"/>
        <c:varyColors val="1"/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5B7-4474-873A-ED7244EC7F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5B7-4474-873A-ED7244EC7FE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5B7-4474-873A-ED7244EC7FE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5B7-4474-873A-ED7244EC7FE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5B7-4474-873A-ED7244EC7FE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5B7-4474-873A-ED7244EC7F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5B7-4474-873A-ED7244EC7FE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15B7-4474-873A-ED7244EC7FE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5B7-4474-873A-ED7244EC7FE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5B7-4474-873A-ED7244EC7FE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15B7-4474-873A-ED7244EC7FE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15B7-4474-873A-ED7244EC7FE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Goals'!$C$2:$C$12</c:f>
              <c:numCache>
                <c:formatCode>General</c:formatCode>
                <c:ptCount val="11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D-4C07-B938-EB0AF02101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>
          <c:spPr>
            <a:ln w="9525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serLine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15B7-4474-873A-ED7244EC7FEA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15B7-4474-873A-ED7244EC7FEA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15B7-4474-873A-ED7244EC7FEA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15B7-4474-873A-ED7244EC7FEA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15B7-4474-873A-ED7244EC7FEA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15B7-4474-873A-ED7244EC7FEA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5-15B7-4474-873A-ED7244EC7FEA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2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15B7-4474-873A-ED7244EC7FEA}"/>
                    </c:ext>
                  </c:extLst>
                </c:dPt>
                <c:dPt>
                  <c:idx val="8"/>
                  <c:bubble3D val="0"/>
                  <c:spPr>
                    <a:solidFill>
                      <a:schemeClr val="accent3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9-15B7-4474-873A-ED7244EC7FEA}"/>
                    </c:ext>
                  </c:extLst>
                </c:dPt>
                <c:dPt>
                  <c:idx val="9"/>
                  <c:bubble3D val="0"/>
                  <c:spPr>
                    <a:solidFill>
                      <a:schemeClr val="accent4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15B7-4474-873A-ED7244EC7FEA}"/>
                    </c:ext>
                  </c:extLst>
                </c:dPt>
                <c:dPt>
                  <c:idx val="10"/>
                  <c:bubble3D val="0"/>
                  <c:spPr>
                    <a:solidFill>
                      <a:schemeClr val="accent5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D-15B7-4474-873A-ED7244EC7FEA}"/>
                    </c:ext>
                  </c:extLst>
                </c:dPt>
                <c:dPt>
                  <c:idx val="11"/>
                  <c:bubble3D val="0"/>
                  <c:spPr>
                    <a:solidFill>
                      <a:schemeClr val="accent6">
                        <a:lumMod val="60000"/>
                      </a:schemeClr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15B7-4474-873A-ED7244EC7FEA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61D-4C07-B938-EB0AF02101B1}"/>
                  </c:ext>
                </c:extLst>
              </c15:ser>
            </c15:filteredPieSeries>
          </c:ext>
        </c:extLst>
      </c:of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4814085739283"/>
          <c:y val="6.9962452610090417E-2"/>
          <c:w val="0.24385192475940506"/>
          <c:h val="0.8923665791776027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96520</xdr:rowOff>
    </xdr:from>
    <xdr:to>
      <xdr:col>10</xdr:col>
      <xdr:colOff>0</xdr:colOff>
      <xdr:row>36</xdr:row>
      <xdr:rowOff>162560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05DC7-B85A-4C00-B08F-BEDF45DFE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15</xdr:row>
      <xdr:rowOff>140970</xdr:rowOff>
    </xdr:from>
    <xdr:to>
      <xdr:col>6</xdr:col>
      <xdr:colOff>373380</xdr:colOff>
      <xdr:row>34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56B15A-5884-41D1-A476-083CE36F0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168852</xdr:colOff>
      <xdr:row>34</xdr:row>
      <xdr:rowOff>169719</xdr:rowOff>
    </xdr:from>
    <xdr:to>
      <xdr:col>3</xdr:col>
      <xdr:colOff>904875</xdr:colOff>
      <xdr:row>50</xdr:row>
      <xdr:rowOff>3464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8CEF3A-C853-41F9-8688-1C5F0DBBA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38965</xdr:colOff>
      <xdr:row>34</xdr:row>
      <xdr:rowOff>161059</xdr:rowOff>
    </xdr:from>
    <xdr:to>
      <xdr:col>7</xdr:col>
      <xdr:colOff>333374</xdr:colOff>
      <xdr:row>49</xdr:row>
      <xdr:rowOff>176645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4879AD-1F27-43BD-86A5-D804690EA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at" refreshedDate="44500.074181018521" createdVersion="7" refreshedVersion="7" minRefreshableVersion="3" recordCount="4114" xr:uid="{A1C61980-4AE2-43A9-9B88-94F019D3D74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Pledged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Finish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321A8-367A-49C8-8D8C-D1ED6E9D29F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onditionalFormats count="2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2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5" zoomScaleNormal="85" workbookViewId="0">
      <pane xSplit="3" ySplit="1" topLeftCell="Q3757" activePane="bottomRight" state="frozen"/>
      <selection pane="topRight" activeCell="D1" sqref="D1"/>
      <selection pane="bottomLeft" activeCell="A2" sqref="A2"/>
      <selection pane="bottomRight" activeCell="X3766" sqref="X376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1" bestFit="1" customWidth="1"/>
    <col min="16" max="16" width="16.109375" style="12" bestFit="1" customWidth="1"/>
    <col min="17" max="17" width="15.5546875" bestFit="1" customWidth="1"/>
    <col min="18" max="18" width="16.109375" bestFit="1" customWidth="1"/>
    <col min="19" max="19" width="23.33203125" style="15" bestFit="1" customWidth="1"/>
    <col min="20" max="20" width="20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8357</v>
      </c>
      <c r="P1" s="11" t="s">
        <v>8358</v>
      </c>
      <c r="Q1" s="9" t="s">
        <v>8364</v>
      </c>
      <c r="R1" s="1" t="s">
        <v>8306</v>
      </c>
      <c r="S1" s="13" t="s">
        <v>8365</v>
      </c>
      <c r="T1" s="13" t="s">
        <v>8366</v>
      </c>
      <c r="U1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 t="shared" ref="P2:P65" si="1"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si="1"/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ref="P66:P129" si="6">IFERROR(ROUND(E66/L66,2),0)</f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si="6"/>
        <v>132.05000000000001</v>
      </c>
      <c r="Q67" s="10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ref="P130:P193" si="11">IFERROR(ROUND(E130/L130,2),0)</f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si="11"/>
        <v>0</v>
      </c>
      <c r="Q131" s="10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ref="P194:P257" si="16">IFERROR(ROUND(E194/L194,2),0)</f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si="16"/>
        <v>0</v>
      </c>
      <c r="Q195" s="10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ref="P258:P321" si="21">IFERROR(ROUND(E258/L258,2),0)</f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si="21"/>
        <v>66.7</v>
      </c>
      <c r="Q259" s="10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ref="P322:P385" si="26">IFERROR(ROUND(E322/L322,2),0)</f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si="26"/>
        <v>106.62</v>
      </c>
      <c r="Q323" s="10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ref="P386:P449" si="31">IFERROR(ROUND(E386/L386,2),0)</f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si="31"/>
        <v>111.8</v>
      </c>
      <c r="Q387" s="10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ref="P450:P513" si="36">IFERROR(ROUND(E450/L450,2),0)</f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si="36"/>
        <v>9</v>
      </c>
      <c r="Q451" s="10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ref="P514:P577" si="41">IFERROR(ROUND(E514/L514,2),0)</f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si="41"/>
        <v>102.38</v>
      </c>
      <c r="Q515" s="10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2">
        <f t="shared" ref="P578:P641" si="46">IFERROR(ROUND(E578/L578,2),0)</f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si="46"/>
        <v>10</v>
      </c>
      <c r="Q579" s="10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2">
        <f t="shared" ref="P642:P705" si="51">IFERROR(ROUND(E642/L642,2),0)</f>
        <v>50.5</v>
      </c>
      <c r="Q642" s="10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si="51"/>
        <v>151.32</v>
      </c>
      <c r="Q643" s="10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2">
        <f t="shared" ref="P706:P769" si="56">IFERROR(ROUND(E706/L706,2),0)</f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si="56"/>
        <v>195.4</v>
      </c>
      <c r="Q707" s="10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2">
        <f t="shared" ref="P770:P833" si="61">IFERROR(ROUND(E770/L770,2),0)</f>
        <v>0</v>
      </c>
      <c r="Q770" s="10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si="61"/>
        <v>31.85</v>
      </c>
      <c r="Q771" s="10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2">
        <f t="shared" ref="P834:P897" si="66">IFERROR(ROUND(E834/L834,2),0)</f>
        <v>97.99</v>
      </c>
      <c r="Q834" s="10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si="66"/>
        <v>148.78</v>
      </c>
      <c r="Q835" s="10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2">
        <f t="shared" ref="P898:P961" si="71">IFERROR(ROUND(E898/L898,2),0)</f>
        <v>44.44</v>
      </c>
      <c r="Q898" s="10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si="71"/>
        <v>0</v>
      </c>
      <c r="Q899" s="10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2">
        <f t="shared" ref="P962:P1025" si="76">IFERROR(ROUND(E962/L962,2),0)</f>
        <v>136.46</v>
      </c>
      <c r="Q962" s="10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si="76"/>
        <v>364.35</v>
      </c>
      <c r="Q963" s="10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2">
        <f t="shared" ref="P1026:P1089" si="81">IFERROR(ROUND(E1026/L1026,2),0)</f>
        <v>388.98</v>
      </c>
      <c r="Q1026" s="10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si="81"/>
        <v>71.849999999999994</v>
      </c>
      <c r="Q1027" s="10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2">
        <f t="shared" ref="P1090:P1153" si="86">IFERROR(ROUND(E1090/L1090,2),0)</f>
        <v>43.42</v>
      </c>
      <c r="Q1090" s="10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si="86"/>
        <v>23.96</v>
      </c>
      <c r="Q1091" s="10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2">
        <f t="shared" ref="P1154:P1217" si="91">IFERROR(ROUND(E1154/L1154,2),0)</f>
        <v>60.73</v>
      </c>
      <c r="Q1154" s="10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si="91"/>
        <v>50</v>
      </c>
      <c r="Q1155" s="10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2">
        <f t="shared" ref="P1218:P1281" si="96">IFERROR(ROUND(E1218/L1218,2),0)</f>
        <v>91.88</v>
      </c>
      <c r="Q1218" s="10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si="96"/>
        <v>148.57</v>
      </c>
      <c r="Q1219" s="10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2">
        <f t="shared" ref="P1282:P1345" si="101">IFERROR(ROUND(E1282/L1282,2),0)</f>
        <v>127.98</v>
      </c>
      <c r="Q1282" s="10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si="101"/>
        <v>104.73</v>
      </c>
      <c r="Q1283" s="10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2">
        <f t="shared" ref="P1346:P1409" si="106">IFERROR(ROUND(E1346/L1346,2),0)</f>
        <v>40.76</v>
      </c>
      <c r="Q1346" s="10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si="106"/>
        <v>53.57</v>
      </c>
      <c r="Q1347" s="10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2">
        <f t="shared" ref="P1410:P1473" si="111">IFERROR(ROUND(E1410/L1410,2),0)</f>
        <v>12</v>
      </c>
      <c r="Q1410" s="10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si="111"/>
        <v>0</v>
      </c>
      <c r="Q1411" s="10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2">
        <f t="shared" ref="P1474:P1537" si="116">IFERROR(ROUND(E1474/L1474,2),0)</f>
        <v>103.2</v>
      </c>
      <c r="Q1474" s="10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si="116"/>
        <v>38.46</v>
      </c>
      <c r="Q1475" s="10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2">
        <f t="shared" ref="P1538:P1601" si="121">IFERROR(ROUND(E1538/L1538,2),0)</f>
        <v>66.02</v>
      </c>
      <c r="Q1538" s="10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si="121"/>
        <v>96.38</v>
      </c>
      <c r="Q1539" s="10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2">
        <f t="shared" ref="P1602:P1665" si="126">IFERROR(ROUND(E1602/L1602,2),0)</f>
        <v>40.78</v>
      </c>
      <c r="Q1602" s="10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si="126"/>
        <v>48.33</v>
      </c>
      <c r="Q1603" s="10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10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si="131"/>
        <v>44.96</v>
      </c>
      <c r="Q1667" s="10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2">
        <f t="shared" ref="P1730:P1793" si="136">IFERROR(ROUND(E1730/L1730,2),0)</f>
        <v>122.14</v>
      </c>
      <c r="Q1730" s="10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si="136"/>
        <v>0</v>
      </c>
      <c r="Q1731" s="10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2">
        <f t="shared" ref="P1794:P1857" si="141">IFERROR(ROUND(E1794/L1794,2),0)</f>
        <v>109.94</v>
      </c>
      <c r="Q1794" s="10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si="141"/>
        <v>20</v>
      </c>
      <c r="Q1795" s="10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2">
        <f t="shared" ref="P1858:P1921" si="146">IFERROR(ROUND(E1858/L1858,2),0)</f>
        <v>53.29</v>
      </c>
      <c r="Q1858" s="10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si="146"/>
        <v>136.36000000000001</v>
      </c>
      <c r="Q1859" s="10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2">
        <f t="shared" ref="P1922:P1985" si="151">IFERROR(ROUND(E1922/L1922,2),0)</f>
        <v>40.98</v>
      </c>
      <c r="Q1922" s="10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si="151"/>
        <v>54</v>
      </c>
      <c r="Q1923" s="10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2">
        <f t="shared" ref="P1986:P2049" si="156">IFERROR(ROUND(E1986/L1986,2),0)</f>
        <v>453.14</v>
      </c>
      <c r="Q1986" s="10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si="156"/>
        <v>12.75</v>
      </c>
      <c r="Q1987" s="10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2">
        <f t="shared" ref="P2050:P2113" si="161">IFERROR(ROUND(E2050/L2050,2),0)</f>
        <v>91.83</v>
      </c>
      <c r="Q2050" s="10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si="161"/>
        <v>80.989999999999995</v>
      </c>
      <c r="Q2051" s="10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2">
        <f t="shared" ref="P2114:P2177" si="166">IFERROR(ROUND(E2114/L2114,2),0)</f>
        <v>27.27</v>
      </c>
      <c r="Q2114" s="10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si="166"/>
        <v>68.599999999999994</v>
      </c>
      <c r="Q2115" s="10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2">
        <f t="shared" ref="P2178:P2241" si="171">IFERROR(ROUND(E2178/L2178,2),0)</f>
        <v>88.75</v>
      </c>
      <c r="Q2178" s="10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si="171"/>
        <v>65.87</v>
      </c>
      <c r="Q2179" s="10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10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si="176"/>
        <v>49.47</v>
      </c>
      <c r="Q2243" s="10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2">
        <f t="shared" ref="P2306:P2369" si="181">IFERROR(ROUND(E2306/L2306,2),0)</f>
        <v>53.47</v>
      </c>
      <c r="Q2306" s="10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si="181"/>
        <v>109.11</v>
      </c>
      <c r="Q2307" s="10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2">
        <f t="shared" ref="P2370:P2433" si="186">IFERROR(ROUND(E2370/L2370,2),0)</f>
        <v>50</v>
      </c>
      <c r="Q2370" s="10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si="186"/>
        <v>0</v>
      </c>
      <c r="Q2371" s="10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2">
        <f t="shared" ref="P2434:P2497" si="191">IFERROR(ROUND(E2434/L2434,2),0)</f>
        <v>1</v>
      </c>
      <c r="Q2434" s="10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si="191"/>
        <v>0</v>
      </c>
      <c r="Q2435" s="10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2">
        <f t="shared" ref="P2498:P2561" si="196">IFERROR(ROUND(E2498/L2498,2),0)</f>
        <v>600</v>
      </c>
      <c r="Q2498" s="10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si="196"/>
        <v>80.55</v>
      </c>
      <c r="Q2499" s="10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2">
        <f t="shared" ref="P2562:P2625" si="201">IFERROR(ROUND(E2562/L2562,2),0)</f>
        <v>143</v>
      </c>
      <c r="Q2562" s="10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si="201"/>
        <v>0</v>
      </c>
      <c r="Q2563" s="10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2">
        <f t="shared" ref="P2626:P2689" si="206">IFERROR(ROUND(E2626/L2626,2),0)</f>
        <v>31.82</v>
      </c>
      <c r="Q2626" s="10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si="206"/>
        <v>27.58</v>
      </c>
      <c r="Q2627" s="10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2">
        <f t="shared" ref="P2690:P2753" si="211">IFERROR(ROUND(E2690/L2690,2),0)</f>
        <v>5.29</v>
      </c>
      <c r="Q2690" s="10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si="211"/>
        <v>1</v>
      </c>
      <c r="Q2691" s="10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2">
        <f t="shared" ref="P2754:P2817" si="216">IFERROR(ROUND(E2754/L2754,2),0)</f>
        <v>39.29</v>
      </c>
      <c r="Q2754" s="10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si="216"/>
        <v>47.5</v>
      </c>
      <c r="Q2755" s="10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ref="P2818:P2881" si="221">IFERROR(ROUND(E2818/L2818,2),0)</f>
        <v>25.13</v>
      </c>
      <c r="Q2818" s="10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si="221"/>
        <v>23.64</v>
      </c>
      <c r="Q2819" s="10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ref="P2882:P2945" si="226">IFERROR(ROUND(E2882/L2882,2),0)</f>
        <v>96.55</v>
      </c>
      <c r="Q2882" s="10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si="226"/>
        <v>0</v>
      </c>
      <c r="Q2883" s="10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ref="P2946:P3009" si="231">IFERROR(ROUND(E2946/L2946,2),0)</f>
        <v>100</v>
      </c>
      <c r="Q2946" s="10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si="231"/>
        <v>0</v>
      </c>
      <c r="Q2947" s="10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ref="P3010:P3073" si="236">IFERROR(ROUND(E3010/L3010,2),0)</f>
        <v>116.73</v>
      </c>
      <c r="Q3010" s="10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si="236"/>
        <v>233.9</v>
      </c>
      <c r="Q3011" s="10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ref="P3074:P3137" si="241">IFERROR(ROUND(E3074/L3074,2),0)</f>
        <v>1</v>
      </c>
      <c r="Q3074" s="10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si="241"/>
        <v>92.14</v>
      </c>
      <c r="Q3075" s="10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ref="P3138:P3201" si="246">IFERROR(ROUND(E3138/L3138,2),0)</f>
        <v>29.05</v>
      </c>
      <c r="Q3138" s="10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si="246"/>
        <v>50</v>
      </c>
      <c r="Q3139" s="10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ref="P3202:P3265" si="251">IFERROR(ROUND(E3202/L3202,2),0)</f>
        <v>1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si="251"/>
        <v>12.5</v>
      </c>
      <c r="Q3203" s="10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ref="P3266:P3329" si="256">IFERROR(ROUND(E3266/L3266,2),0)</f>
        <v>52.55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si="256"/>
        <v>70.290000000000006</v>
      </c>
      <c r="Q3267" s="10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10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si="261"/>
        <v>44.92</v>
      </c>
      <c r="Q3331" s="10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ref="P3394:P3457" si="266">IFERROR(ROUND(E3394/L3394,2),0)</f>
        <v>41.67</v>
      </c>
      <c r="Q3394" s="10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si="266"/>
        <v>36.07</v>
      </c>
      <c r="Q3395" s="10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ref="P3458:P3521" si="271">IFERROR(ROUND(E3458/L3458,2),0)</f>
        <v>358.69</v>
      </c>
      <c r="Q3458" s="10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si="271"/>
        <v>50.98</v>
      </c>
      <c r="Q3459" s="10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ref="P3522:P3585" si="276">IFERROR(ROUND(E3522/L3522,2),0)</f>
        <v>95.95</v>
      </c>
      <c r="Q3522" s="10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si="276"/>
        <v>45.62</v>
      </c>
      <c r="Q3523" s="10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ref="P3586:P3649" si="281">IFERROR(ROUND(E3586/L3586,2),0)</f>
        <v>30.94</v>
      </c>
      <c r="Q3586" s="10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si="281"/>
        <v>176.09</v>
      </c>
      <c r="Q3587" s="10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ref="P3650:P3713" si="286">IFERROR(ROUND(E3650/L3650,2),0)</f>
        <v>550.04</v>
      </c>
      <c r="Q3650" s="10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si="286"/>
        <v>97.5</v>
      </c>
      <c r="Q3651" s="10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ref="P3714:P3777" si="291">IFERROR(ROUND(E3714/L3714,2),0)</f>
        <v>110.87</v>
      </c>
      <c r="Q3714" s="10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si="291"/>
        <v>106.84</v>
      </c>
      <c r="Q3715" s="10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ref="P3778:P3841" si="296">IFERROR(ROUND(E3778/L3778,2),0)</f>
        <v>90.82</v>
      </c>
      <c r="Q3778" s="10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si="296"/>
        <v>48.54</v>
      </c>
      <c r="Q3779" s="10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ref="P3842:P3905" si="301">IFERROR(ROUND(E3842/L3842,2),0)</f>
        <v>21.67</v>
      </c>
      <c r="Q3842" s="10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si="301"/>
        <v>25.65</v>
      </c>
      <c r="Q3843" s="10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ref="P3906:P3969" si="306">IFERROR(ROUND(E3906/L3906,2),0)</f>
        <v>1.5</v>
      </c>
      <c r="Q3906" s="10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si="306"/>
        <v>24.71</v>
      </c>
      <c r="Q3907" s="10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ref="P3970:P4033" si="311">IFERROR(ROUND(E3970/L3970,2),0)</f>
        <v>47.91</v>
      </c>
      <c r="Q3970" s="10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si="311"/>
        <v>35.17</v>
      </c>
      <c r="Q3971" s="10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ref="P4034:P4097" si="316">IFERROR(ROUND(E4034/L4034,2),0)</f>
        <v>59</v>
      </c>
      <c r="Q4034" s="10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si="316"/>
        <v>65.34</v>
      </c>
      <c r="Q4035" s="10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ref="P4098:P4115" si="321">IFERROR(ROUND(E4098/L4098,2),0)</f>
        <v>80</v>
      </c>
      <c r="Q4098" s="10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si="321"/>
        <v>0</v>
      </c>
      <c r="Q4099" s="10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0" priority="1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9CFC1-CA62-4F53-B615-41DEB743B105}">
  <sheetPr codeName="Sheet4"/>
  <dimension ref="A1:N28"/>
  <sheetViews>
    <sheetView zoomScale="98" zoomScaleNormal="98" workbookViewId="0">
      <selection activeCell="I18" sqref="I18"/>
    </sheetView>
  </sheetViews>
  <sheetFormatPr defaultRowHeight="14.4" x14ac:dyDescent="0.3"/>
  <cols>
    <col min="1" max="1" width="18" style="18" bestFit="1" customWidth="1"/>
    <col min="2" max="2" width="16.6640625" style="18" bestFit="1" customWidth="1"/>
    <col min="3" max="3" width="5.77734375" style="18" bestFit="1" customWidth="1"/>
    <col min="4" max="4" width="8.6640625" style="18" bestFit="1" customWidth="1"/>
    <col min="5" max="6" width="11.33203125" style="18" bestFit="1" customWidth="1"/>
    <col min="7" max="13" width="8.88671875" style="18"/>
    <col min="14" max="14" width="10.33203125" style="18" customWidth="1"/>
    <col min="15" max="16384" width="8.88671875" style="18"/>
  </cols>
  <sheetData>
    <row r="1" spans="1:5" x14ac:dyDescent="0.3">
      <c r="A1" s="17" t="s">
        <v>8364</v>
      </c>
      <c r="B1" s="18" t="s">
        <v>8314</v>
      </c>
    </row>
    <row r="2" spans="1:5" x14ac:dyDescent="0.3">
      <c r="A2" s="17" t="s">
        <v>8367</v>
      </c>
      <c r="B2" s="18" t="s">
        <v>8362</v>
      </c>
    </row>
    <row r="4" spans="1:5" x14ac:dyDescent="0.3">
      <c r="A4" s="17" t="s">
        <v>8363</v>
      </c>
      <c r="B4" s="17" t="s">
        <v>8361</v>
      </c>
    </row>
    <row r="5" spans="1:5" x14ac:dyDescent="0.3">
      <c r="A5" s="17" t="s">
        <v>8359</v>
      </c>
      <c r="B5" s="18" t="s">
        <v>8218</v>
      </c>
      <c r="C5" s="18" t="s">
        <v>8220</v>
      </c>
      <c r="D5" s="18" t="s">
        <v>8219</v>
      </c>
      <c r="E5" s="18" t="s">
        <v>8360</v>
      </c>
    </row>
    <row r="6" spans="1:5" x14ac:dyDescent="0.3">
      <c r="A6" s="19" t="s">
        <v>8374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3">
      <c r="A7" s="19" t="s">
        <v>8375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3">
      <c r="A8" s="19" t="s">
        <v>8376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3">
      <c r="A9" s="19" t="s">
        <v>8377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3">
      <c r="A10" s="19" t="s">
        <v>8368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3">
      <c r="A11" s="19" t="s">
        <v>8378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3">
      <c r="A12" s="19" t="s">
        <v>8369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3">
      <c r="A13" s="19" t="s">
        <v>8370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3">
      <c r="A14" s="19" t="s">
        <v>8371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3">
      <c r="A15" s="19" t="s">
        <v>8372</v>
      </c>
      <c r="B15" s="20">
        <v>65</v>
      </c>
      <c r="C15" s="20">
        <v>50</v>
      </c>
      <c r="D15" s="20"/>
      <c r="E15" s="20">
        <v>115</v>
      </c>
    </row>
    <row r="16" spans="1:5" x14ac:dyDescent="0.3">
      <c r="A16" s="19" t="s">
        <v>8373</v>
      </c>
      <c r="B16" s="20">
        <v>54</v>
      </c>
      <c r="C16" s="20">
        <v>31</v>
      </c>
      <c r="D16" s="20">
        <v>3</v>
      </c>
      <c r="E16" s="20">
        <v>88</v>
      </c>
    </row>
    <row r="17" spans="1:14" x14ac:dyDescent="0.3">
      <c r="A17" s="19" t="s">
        <v>8379</v>
      </c>
      <c r="B17" s="20">
        <v>37</v>
      </c>
      <c r="C17" s="20">
        <v>35</v>
      </c>
      <c r="D17" s="20">
        <v>3</v>
      </c>
      <c r="E17" s="20">
        <v>75</v>
      </c>
    </row>
    <row r="18" spans="1:14" x14ac:dyDescent="0.3">
      <c r="A18" s="19" t="s">
        <v>8360</v>
      </c>
      <c r="B18" s="20">
        <v>839</v>
      </c>
      <c r="C18" s="20">
        <v>493</v>
      </c>
      <c r="D18" s="20">
        <v>37</v>
      </c>
      <c r="E18" s="20">
        <v>1369</v>
      </c>
    </row>
    <row r="22" spans="1:14" x14ac:dyDescent="0.3">
      <c r="N22" s="21"/>
    </row>
    <row r="23" spans="1:14" x14ac:dyDescent="0.3">
      <c r="N23" s="21"/>
    </row>
    <row r="24" spans="1:14" x14ac:dyDescent="0.3">
      <c r="N24" s="21"/>
    </row>
    <row r="25" spans="1:14" x14ac:dyDescent="0.3">
      <c r="N25" s="21"/>
    </row>
    <row r="26" spans="1:14" x14ac:dyDescent="0.3">
      <c r="N26" s="21"/>
    </row>
    <row r="27" spans="1:14" x14ac:dyDescent="0.3">
      <c r="N27" s="21"/>
    </row>
    <row r="28" spans="1:14" x14ac:dyDescent="0.3">
      <c r="N28" s="21"/>
    </row>
  </sheetData>
  <conditionalFormatting pivot="1" sqref="B6:B17">
    <cfRule type="colorScale" priority="2">
      <colorScale>
        <cfvo type="min"/>
        <cfvo type="max"/>
        <color rgb="FFFF0000"/>
        <color rgb="FF00B050"/>
      </colorScale>
    </cfRule>
  </conditionalFormatting>
  <conditionalFormatting pivot="1" sqref="C6:C17">
    <cfRule type="colorScale" priority="1">
      <colorScale>
        <cfvo type="min"/>
        <cfvo type="max"/>
        <color rgb="FF0070C0"/>
        <color rgb="FF00B050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FF1C-6217-48D1-9019-3191313AFD9B}">
  <dimension ref="A1:H15"/>
  <sheetViews>
    <sheetView tabSelected="1" topLeftCell="A8" zoomScale="88" workbookViewId="0">
      <selection activeCell="G19" sqref="G19"/>
    </sheetView>
  </sheetViews>
  <sheetFormatPr defaultRowHeight="14.4" x14ac:dyDescent="0.3"/>
  <cols>
    <col min="1" max="1" width="16.88671875" bestFit="1" customWidth="1"/>
    <col min="2" max="2" width="22" bestFit="1" customWidth="1"/>
    <col min="3" max="3" width="17" bestFit="1" customWidth="1"/>
    <col min="4" max="4" width="20.33203125" bestFit="1" customWidth="1"/>
    <col min="5" max="5" width="16.33203125" bestFit="1" customWidth="1"/>
    <col min="6" max="6" width="25.5546875" bestFit="1" customWidth="1"/>
    <col min="7" max="7" width="20.5546875" bestFit="1" customWidth="1"/>
    <col min="8" max="8" width="23.88671875" bestFit="1" customWidth="1"/>
  </cols>
  <sheetData>
    <row r="1" spans="1:8" ht="15" customHeight="1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t="s">
        <v>8388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>
        <f t="shared" ref="F2:F11" si="0">ROUND(B2/E2*100,1)</f>
        <v>75.8</v>
      </c>
      <c r="G2">
        <f t="shared" ref="G2:G11" si="1">ROUND(C2/E2*100,1)</f>
        <v>24.2</v>
      </c>
      <c r="H2">
        <f>D2/E2*100</f>
        <v>0</v>
      </c>
    </row>
    <row r="3" spans="1:8" x14ac:dyDescent="0.3">
      <c r="A3" t="s">
        <v>8389</v>
      </c>
      <c r="B3">
        <f>COUNTIFS(Kickstarter!$D:$D,"&gt;=1000",Kickstarter!$R:$R,"plays",Kickstarter!$F:$F,"successful",Kickstarter!$D:$D,"&lt;=4999")</f>
        <v>388</v>
      </c>
      <c r="C3">
        <f>COUNTIFS(Kickstarter!$D:$D,"&gt;=1000",Kickstarter!$R:$R,"plays",Kickstarter!$F:$F,"failed",Kickstarter!$D:$D,"&lt;=4999")</f>
        <v>146</v>
      </c>
      <c r="D3">
        <f>COUNTIFS(Kickstarter!$D:$D,"&gt;=1000",Kickstarter!$R:$R,"plays",Kickstarter!$F:$F,"canceled",Kickstarter!$D:$D,"&lt;=4999")</f>
        <v>0</v>
      </c>
      <c r="E3">
        <f t="shared" ref="E3:E15" si="2">SUM(B3:D3)</f>
        <v>534</v>
      </c>
      <c r="F3">
        <f t="shared" si="0"/>
        <v>72.7</v>
      </c>
      <c r="G3">
        <f t="shared" si="1"/>
        <v>27.3</v>
      </c>
      <c r="H3">
        <f t="shared" ref="H3:H12" si="3">D3/E3*100</f>
        <v>0</v>
      </c>
    </row>
    <row r="4" spans="1:8" x14ac:dyDescent="0.3">
      <c r="A4" t="s">
        <v>8390</v>
      </c>
      <c r="B4">
        <f>COUNTIFS(Kickstarter!$D:$D,"&gt;=5000",Kickstarter!$R:$R,"plays",Kickstarter!$F:$F,"successful",Kickstarter!$D:$D,"&lt;=9999")</f>
        <v>93</v>
      </c>
      <c r="C4">
        <f>COUNTIFS(Kickstarter!$D:$D,"&gt;=5000",Kickstarter!$R:$R,"plays",Kickstarter!$F:$F,"failed",Kickstarter!$D:$D,"&lt;=9999")</f>
        <v>76</v>
      </c>
      <c r="D4">
        <f>COUNTIFS(Kickstarter!$D:$D,"&gt;=5000",Kickstarter!$R:$R,"plays",Kickstarter!$F:$F,"canceled",Kickstarter!$D:$D,"&lt;=9999")</f>
        <v>0</v>
      </c>
      <c r="E4">
        <f t="shared" si="2"/>
        <v>169</v>
      </c>
      <c r="F4">
        <f t="shared" si="0"/>
        <v>55</v>
      </c>
      <c r="G4">
        <f t="shared" si="1"/>
        <v>45</v>
      </c>
      <c r="H4">
        <f t="shared" si="3"/>
        <v>0</v>
      </c>
    </row>
    <row r="5" spans="1:8" x14ac:dyDescent="0.3">
      <c r="A5" t="s">
        <v>8391</v>
      </c>
      <c r="B5">
        <f>COUNTIFS(Kickstarter!$D:$D,"&gt;=10000",Kickstarter!$R:$R,"plays",Kickstarter!$F:$F,"successful",Kickstarter!$D:$D,"&lt;=14999")</f>
        <v>39</v>
      </c>
      <c r="C5">
        <f>COUNTIFS(Kickstarter!$D:$D,"&gt;=10000",Kickstarter!$R:$R,"plays",Kickstarter!$F:$F,"failed",Kickstarter!$D:$D,"&lt;=14999")</f>
        <v>33</v>
      </c>
      <c r="D5">
        <f>COUNTIFS(Kickstarter!$D:$D,"&gt;=10000",Kickstarter!$R:$R,"plays",Kickstarter!$F:$F,"canceled",Kickstarter!$D:$D,"&lt;=14999")</f>
        <v>0</v>
      </c>
      <c r="E5">
        <f t="shared" si="2"/>
        <v>72</v>
      </c>
      <c r="F5">
        <f t="shared" si="0"/>
        <v>54.2</v>
      </c>
      <c r="G5">
        <f t="shared" si="1"/>
        <v>45.8</v>
      </c>
      <c r="H5">
        <f t="shared" si="3"/>
        <v>0</v>
      </c>
    </row>
    <row r="6" spans="1:8" x14ac:dyDescent="0.3">
      <c r="A6" t="s">
        <v>8392</v>
      </c>
      <c r="B6">
        <f>COUNTIFS(Kickstarter!$D:$D,"&gt;=15000",Kickstarter!$R:$R,"plays",Kickstarter!$F:$F,"successful",Kickstarter!$D:$D,"&lt;=19999")</f>
        <v>12</v>
      </c>
      <c r="C6">
        <f>COUNTIFS(Kickstarter!$D:$D,"&gt;=15000",Kickstarter!$R:$R,"plays",Kickstarter!$F:$F,"failed",Kickstarter!$D:$D,"&lt;=19999")</f>
        <v>12</v>
      </c>
      <c r="D6">
        <f>COUNTIFS(Kickstarter!$D:$D,"&gt;=15000",Kickstarter!$R:$R,"plays",Kickstarter!$F:$F,"canceled",Kickstarter!$D:$D,"&lt;=19999")</f>
        <v>0</v>
      </c>
      <c r="E6">
        <f t="shared" si="2"/>
        <v>24</v>
      </c>
      <c r="F6">
        <f t="shared" si="0"/>
        <v>50</v>
      </c>
      <c r="G6">
        <f t="shared" si="1"/>
        <v>50</v>
      </c>
      <c r="H6">
        <f t="shared" si="3"/>
        <v>0</v>
      </c>
    </row>
    <row r="7" spans="1:8" x14ac:dyDescent="0.3">
      <c r="A7" t="s">
        <v>8393</v>
      </c>
      <c r="B7">
        <f>COUNTIFS(Kickstarter!$D:$D,"&gt;=20000",Kickstarter!$R:$R,"plays",Kickstarter!$F:$F,"successful",Kickstarter!$D:$D,"&lt;=24999")</f>
        <v>9</v>
      </c>
      <c r="C7">
        <f>COUNTIFS(Kickstarter!$D:$D,"&gt;=20000",Kickstarter!$R:$R,"plays",Kickstarter!$F:$F,"failed",Kickstarter!$D:$D,"&lt;=24999")</f>
        <v>11</v>
      </c>
      <c r="D7">
        <f>COUNTIFS(Kickstarter!$D:$D,"&gt;=20000",Kickstarter!$R:$R,"plays",Kickstarter!$F:$F,"canceled",Kickstarter!$D:$D,"&lt;=24999")</f>
        <v>0</v>
      </c>
      <c r="E7">
        <f t="shared" si="2"/>
        <v>20</v>
      </c>
      <c r="F7">
        <f t="shared" si="0"/>
        <v>45</v>
      </c>
      <c r="G7">
        <f t="shared" si="1"/>
        <v>55</v>
      </c>
      <c r="H7">
        <f t="shared" si="3"/>
        <v>0</v>
      </c>
    </row>
    <row r="8" spans="1:8" x14ac:dyDescent="0.3">
      <c r="A8" t="s">
        <v>8394</v>
      </c>
      <c r="B8">
        <f>COUNTIFS(Kickstarter!$D:$D,"&gt;=25000",Kickstarter!$R:$R,"plays",Kickstarter!$F:$F,"successful",Kickstarter!$D:$D,"&lt;=29999")</f>
        <v>1</v>
      </c>
      <c r="C8">
        <f>COUNTIFS(Kickstarter!$D:$D,"&gt;=25000",Kickstarter!$R:$R,"plays",Kickstarter!$F:$F,"failed",Kickstarter!$D:$D,"&lt;=29999")</f>
        <v>4</v>
      </c>
      <c r="D8">
        <f>COUNTIFS(Kickstarter!$D:$D,"&gt;=25000",Kickstarter!$R:$R,"plays",Kickstarter!$F:$F,"canceled",Kickstarter!$D:$D,"&lt;=29999")</f>
        <v>0</v>
      </c>
      <c r="E8">
        <f t="shared" si="2"/>
        <v>5</v>
      </c>
      <c r="F8">
        <f t="shared" si="0"/>
        <v>20</v>
      </c>
      <c r="G8">
        <f t="shared" si="1"/>
        <v>80</v>
      </c>
      <c r="H8">
        <f t="shared" si="3"/>
        <v>0</v>
      </c>
    </row>
    <row r="9" spans="1:8" x14ac:dyDescent="0.3">
      <c r="A9" t="s">
        <v>8395</v>
      </c>
      <c r="B9">
        <f>COUNTIFS(Kickstarter!$D:$D,"&gt;=30000",Kickstarter!$R:$R,"plays",Kickstarter!$F:$F,"successful",Kickstarter!$D:$D,"&lt;=34999")</f>
        <v>3</v>
      </c>
      <c r="C9">
        <f>COUNTIFS(Kickstarter!$D:$D,"&gt;=30000",Kickstarter!$R:$R,"plays",Kickstarter!$F:$F,"failed",Kickstarter!$D:$D,"&lt;=34999")</f>
        <v>8</v>
      </c>
      <c r="D9">
        <f>COUNTIFS(Kickstarter!$D:$D,"&gt;=30000",Kickstarter!$R:$R,"plays",Kickstarter!$F:$F,"canceled",Kickstarter!$D:$D,"&lt;=34999")</f>
        <v>0</v>
      </c>
      <c r="E9">
        <f t="shared" si="2"/>
        <v>11</v>
      </c>
      <c r="F9">
        <f t="shared" si="0"/>
        <v>27.3</v>
      </c>
      <c r="G9">
        <f t="shared" si="1"/>
        <v>72.7</v>
      </c>
      <c r="H9">
        <f t="shared" si="3"/>
        <v>0</v>
      </c>
    </row>
    <row r="10" spans="1:8" x14ac:dyDescent="0.3">
      <c r="A10" t="s">
        <v>8398</v>
      </c>
      <c r="B10">
        <f>COUNTIFS(Kickstarter!$D:$D,"&gt;=35000",Kickstarter!$R:$R,"plays",Kickstarter!$F:$F,"successful",Kickstarter!$D:$D,"&lt;=39999")</f>
        <v>4</v>
      </c>
      <c r="C10">
        <f>COUNTIFS(Kickstarter!$D:$D,"&gt;=35000",Kickstarter!$R:$R,"plays",Kickstarter!$F:$F,"failed",Kickstarter!$D:$D,"&lt;=39999")</f>
        <v>2</v>
      </c>
      <c r="D10">
        <f>COUNTIFS(Kickstarter!$D:$D,"&gt;=35000",Kickstarter!$R:$R,"plays",Kickstarter!$F:$F,"canceled",Kickstarter!$D:$D,"&lt;=39999")</f>
        <v>0</v>
      </c>
      <c r="E10">
        <f t="shared" si="2"/>
        <v>6</v>
      </c>
      <c r="F10">
        <f t="shared" si="0"/>
        <v>66.7</v>
      </c>
      <c r="G10">
        <f t="shared" si="1"/>
        <v>33.299999999999997</v>
      </c>
      <c r="H10">
        <f t="shared" si="3"/>
        <v>0</v>
      </c>
    </row>
    <row r="11" spans="1:8" x14ac:dyDescent="0.3">
      <c r="A11" t="s">
        <v>8396</v>
      </c>
      <c r="B11">
        <f>COUNTIFS(Kickstarter!$D:$D,"&gt;=40000",Kickstarter!$R:$R,"plays",Kickstarter!$F:$F,"successful",Kickstarter!$D:$D,"&lt;=44999")</f>
        <v>2</v>
      </c>
      <c r="C11">
        <f>COUNTIFS(Kickstarter!$D:$D,"&gt;=40000",Kickstarter!$R:$R,"plays",Kickstarter!$F:$F,"failed",Kickstarter!$D:$D,"&lt;=44999")</f>
        <v>1</v>
      </c>
      <c r="D11">
        <f>COUNTIFS(Kickstarter!$D:$D,"&gt;=40000",Kickstarter!$R:$R,"plays",Kickstarter!$F:$F,"canceled",Kickstarter!$D:$D,"&lt;=44999")</f>
        <v>0</v>
      </c>
      <c r="E11">
        <f t="shared" si="2"/>
        <v>3</v>
      </c>
      <c r="F11">
        <f t="shared" si="0"/>
        <v>66.7</v>
      </c>
      <c r="G11">
        <f t="shared" si="1"/>
        <v>33.299999999999997</v>
      </c>
      <c r="H11">
        <f t="shared" si="3"/>
        <v>0</v>
      </c>
    </row>
    <row r="12" spans="1:8" x14ac:dyDescent="0.3">
      <c r="A12" t="s">
        <v>8397</v>
      </c>
      <c r="B12">
        <f>COUNTIFS(Kickstarter!$D:$D,"&gt;=50000",Kickstarter!$R:$R,"plays",Kickstarter!$F:$F,"successful")</f>
        <v>2</v>
      </c>
      <c r="C12">
        <f>COUNTIFS(Kickstarter!$D:$D,"&gt;=50000",Kickstarter!$R:$R,"plays",Kickstarter!$F:$F,"failed")</f>
        <v>14</v>
      </c>
      <c r="D12">
        <f>COUNTIFS(Kickstarter!$D:$D,"&gt;50000",Kickstarter!$R:$R,"plays",Kickstarter!$F:$F,"canceled")</f>
        <v>0</v>
      </c>
      <c r="E12">
        <f t="shared" si="2"/>
        <v>16</v>
      </c>
      <c r="F12">
        <f>ROUND(B12/E12*100,1)</f>
        <v>12.5</v>
      </c>
      <c r="G12">
        <f>ROUND(C12/E12*100,1)</f>
        <v>87.5</v>
      </c>
      <c r="H12">
        <f t="shared" si="3"/>
        <v>0</v>
      </c>
    </row>
    <row r="15" spans="1:8" x14ac:dyDescent="0.3">
      <c r="A15" s="22" t="s">
        <v>8399</v>
      </c>
      <c r="B15" s="22">
        <f>COUNTIFS(Kickstarter!$D:$D,"&gt;=45000",Kickstarter!$R:$R,"plays",Kickstarter!$F:$F,"successful",Kickstarter!$D:$D,"&lt;=49999")</f>
        <v>0</v>
      </c>
      <c r="C15" s="22">
        <f>COUNTIFS(Kickstarter!$D:$D,"&gt;=45000",Kickstarter!$R:$R,"plays",Kickstarter!$F:$F,"failed",Kickstarter!$D:$D,"&lt;=49999")</f>
        <v>1</v>
      </c>
      <c r="D15" s="22">
        <f>COUNTIFS(Kickstarter!$D:$D,"&gt;=45000",Kickstarter!$R:$R,"plays",Kickstarter!$F:$F,"canceled",Kickstarter!$D:$D,"&lt;=49999")</f>
        <v>0</v>
      </c>
      <c r="E15" s="22">
        <f t="shared" si="2"/>
        <v>1</v>
      </c>
    </row>
  </sheetData>
  <phoneticPr fontId="4" type="noConversion"/>
  <conditionalFormatting sqref="F2:G12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Judat</cp:lastModifiedBy>
  <dcterms:created xsi:type="dcterms:W3CDTF">2017-04-20T15:17:24Z</dcterms:created>
  <dcterms:modified xsi:type="dcterms:W3CDTF">2021-11-01T06:19:50Z</dcterms:modified>
</cp:coreProperties>
</file>