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bark1967\Downloads\"/>
    </mc:Choice>
  </mc:AlternateContent>
  <bookViews>
    <workbookView xWindow="0" yWindow="0" windowWidth="7905" windowHeight="4995"/>
  </bookViews>
  <sheets>
    <sheet name="baseline" sheetId="1" r:id="rId1"/>
    <sheet name="control" sheetId="3" r:id="rId2"/>
    <sheet name="Sheet5" sheetId="9" r:id="rId3"/>
    <sheet name="Sheet3" sheetId="7" r:id="rId4"/>
    <sheet name="combo cont+exp" sheetId="6" r:id="rId5"/>
    <sheet name="Sheet1" sheetId="5" r:id="rId6"/>
    <sheet name="experiment" sheetId="4" r:id="rId7"/>
    <sheet name="Reference" sheetId="2" r:id="rId8"/>
  </sheets>
  <calcPr calcId="152511"/>
  <pivotCaches>
    <pivotCache cacheId="2" r:id="rId9"/>
    <pivotCache cacheId="17" r:id="rId10"/>
  </pivotCaches>
</workbook>
</file>

<file path=xl/calcChain.xml><?xml version="1.0" encoding="utf-8"?>
<calcChain xmlns="http://schemas.openxmlformats.org/spreadsheetml/2006/main">
  <c r="O2" i="6" l="1"/>
  <c r="O20" i="6"/>
  <c r="O10" i="6"/>
  <c r="O21" i="6"/>
  <c r="O12" i="6"/>
  <c r="O16" i="6"/>
  <c r="N6" i="6"/>
  <c r="M6" i="6"/>
  <c r="N14" i="6"/>
  <c r="P14" i="6" s="1"/>
  <c r="M14" i="6"/>
  <c r="N2" i="6"/>
  <c r="P2" i="6" s="1"/>
  <c r="M2" i="6"/>
  <c r="N13" i="6"/>
  <c r="P13" i="6" s="1"/>
  <c r="M13" i="6"/>
  <c r="O13" i="6" s="1"/>
  <c r="N11" i="6"/>
  <c r="P11" i="6" s="1"/>
  <c r="M11" i="6"/>
  <c r="O11" i="6" s="1"/>
  <c r="N16" i="6"/>
  <c r="P16" i="6" s="1"/>
  <c r="M16" i="6"/>
  <c r="N24" i="6"/>
  <c r="P24" i="6" s="1"/>
  <c r="M24" i="6"/>
  <c r="O24" i="6" s="1"/>
  <c r="N23" i="6"/>
  <c r="P23" i="6" s="1"/>
  <c r="M23" i="6"/>
  <c r="O23" i="6" s="1"/>
  <c r="N22" i="6"/>
  <c r="P22" i="6" s="1"/>
  <c r="M22" i="6"/>
  <c r="N21" i="6"/>
  <c r="P21" i="6" s="1"/>
  <c r="M21" i="6"/>
  <c r="N9" i="6"/>
  <c r="P9" i="6" s="1"/>
  <c r="M9" i="6"/>
  <c r="O9" i="6" s="1"/>
  <c r="N3" i="6"/>
  <c r="P3" i="6" s="1"/>
  <c r="M3" i="6"/>
  <c r="N10" i="6"/>
  <c r="P10" i="6" s="1"/>
  <c r="M10" i="6"/>
  <c r="N17" i="6"/>
  <c r="P17" i="6" s="1"/>
  <c r="M17" i="6"/>
  <c r="O17" i="6" s="1"/>
  <c r="N8" i="6"/>
  <c r="P8" i="6" s="1"/>
  <c r="M8" i="6"/>
  <c r="O8" i="6" s="1"/>
  <c r="N5" i="6"/>
  <c r="P5" i="6" s="1"/>
  <c r="M5" i="6"/>
  <c r="O5" i="6" s="1"/>
  <c r="N18" i="6"/>
  <c r="P18" i="6" s="1"/>
  <c r="M18" i="6"/>
  <c r="N19" i="6"/>
  <c r="P19" i="6" s="1"/>
  <c r="M19" i="6"/>
  <c r="O19" i="6" s="1"/>
  <c r="N20" i="6"/>
  <c r="P20" i="6" s="1"/>
  <c r="M20" i="6"/>
  <c r="N7" i="6"/>
  <c r="P7" i="6" s="1"/>
  <c r="M7" i="6"/>
  <c r="O7" i="6" s="1"/>
  <c r="N15" i="6"/>
  <c r="P15" i="6" s="1"/>
  <c r="M15" i="6"/>
  <c r="O15" i="6" s="1"/>
  <c r="N12" i="6"/>
  <c r="P12" i="6" s="1"/>
  <c r="M12" i="6"/>
  <c r="N4" i="6"/>
  <c r="P4" i="6" s="1"/>
  <c r="M4" i="6"/>
  <c r="O4" i="6" s="1"/>
  <c r="B20" i="6"/>
  <c r="B22" i="6"/>
  <c r="B21" i="6"/>
  <c r="B15" i="6"/>
  <c r="B24" i="6"/>
  <c r="B13" i="6"/>
  <c r="B23" i="6"/>
  <c r="B19" i="6"/>
  <c r="B17" i="6"/>
  <c r="B11" i="6"/>
  <c r="B16" i="6"/>
  <c r="B18" i="6"/>
  <c r="B2" i="6"/>
  <c r="B6" i="6"/>
  <c r="B10" i="6"/>
  <c r="B3" i="6"/>
  <c r="B12" i="6"/>
  <c r="B5" i="6"/>
  <c r="B9" i="6"/>
  <c r="B7" i="6"/>
  <c r="B8" i="6"/>
  <c r="B4" i="6"/>
  <c r="B14" i="6"/>
  <c r="H4" i="6"/>
  <c r="G4" i="6"/>
  <c r="H8" i="6"/>
  <c r="G8" i="6"/>
  <c r="H7" i="6"/>
  <c r="G7" i="6"/>
  <c r="H9" i="6"/>
  <c r="G9" i="6"/>
  <c r="H5" i="6"/>
  <c r="G5" i="6"/>
  <c r="H12" i="6"/>
  <c r="G12" i="6"/>
  <c r="H3" i="6"/>
  <c r="G3" i="6"/>
  <c r="O3" i="6" s="1"/>
  <c r="H10" i="6"/>
  <c r="G10" i="6"/>
  <c r="H6" i="6"/>
  <c r="P6" i="6" s="1"/>
  <c r="G6" i="6"/>
  <c r="O6" i="6" s="1"/>
  <c r="H2" i="6"/>
  <c r="G2" i="6"/>
  <c r="H18" i="6"/>
  <c r="G18" i="6"/>
  <c r="O18" i="6" s="1"/>
  <c r="H16" i="6"/>
  <c r="G16" i="6"/>
  <c r="H11" i="6"/>
  <c r="G11" i="6"/>
  <c r="H17" i="6"/>
  <c r="G17" i="6"/>
  <c r="H19" i="6"/>
  <c r="G19" i="6"/>
  <c r="H23" i="6"/>
  <c r="G23" i="6"/>
  <c r="H13" i="6"/>
  <c r="G13" i="6"/>
  <c r="H24" i="6"/>
  <c r="G24" i="6"/>
  <c r="H15" i="6"/>
  <c r="G15" i="6"/>
  <c r="H21" i="6"/>
  <c r="G21" i="6"/>
  <c r="H22" i="6"/>
  <c r="G22" i="6"/>
  <c r="O22" i="6" s="1"/>
  <c r="H20" i="6"/>
  <c r="G20" i="6"/>
  <c r="H14" i="6"/>
  <c r="G14" i="6"/>
  <c r="O14" i="6" s="1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24" i="4"/>
  <c r="D34" i="1"/>
  <c r="C37" i="1"/>
  <c r="C36" i="1"/>
  <c r="C34" i="1"/>
  <c r="C33" i="1"/>
  <c r="E6" i="1"/>
  <c r="G20" i="4" l="1"/>
  <c r="I20" i="4" s="1"/>
  <c r="H20" i="4"/>
  <c r="J20" i="4" s="1"/>
  <c r="G10" i="4"/>
  <c r="I10" i="4" s="1"/>
  <c r="H10" i="4"/>
  <c r="J10" i="4" s="1"/>
  <c r="G11" i="4"/>
  <c r="I11" i="4" s="1"/>
  <c r="H11" i="4"/>
  <c r="J11" i="4" s="1"/>
  <c r="G22" i="4"/>
  <c r="I22" i="4" s="1"/>
  <c r="H22" i="4"/>
  <c r="J22" i="4" s="1"/>
  <c r="G8" i="4"/>
  <c r="I8" i="4" s="1"/>
  <c r="H8" i="4"/>
  <c r="J8" i="4" s="1"/>
  <c r="G5" i="4"/>
  <c r="I5" i="4" s="1"/>
  <c r="H5" i="4"/>
  <c r="J5" i="4" s="1"/>
  <c r="G9" i="4"/>
  <c r="I9" i="4" s="1"/>
  <c r="H9" i="4"/>
  <c r="J9" i="4" s="1"/>
  <c r="G19" i="4"/>
  <c r="I19" i="4" s="1"/>
  <c r="H19" i="4"/>
  <c r="J19" i="4" s="1"/>
  <c r="G15" i="4"/>
  <c r="I15" i="4" s="1"/>
  <c r="H15" i="4"/>
  <c r="J15" i="4" s="1"/>
  <c r="G6" i="4"/>
  <c r="I6" i="4" s="1"/>
  <c r="H6" i="4"/>
  <c r="J6" i="4" s="1"/>
  <c r="G7" i="4"/>
  <c r="I7" i="4" s="1"/>
  <c r="H7" i="4"/>
  <c r="J7" i="4" s="1"/>
  <c r="G18" i="4"/>
  <c r="I18" i="4" s="1"/>
  <c r="H18" i="4"/>
  <c r="J18" i="4" s="1"/>
  <c r="G4" i="4"/>
  <c r="I4" i="4" s="1"/>
  <c r="H4" i="4"/>
  <c r="J4" i="4" s="1"/>
  <c r="G2" i="4"/>
  <c r="I2" i="4" s="1"/>
  <c r="H2" i="4"/>
  <c r="J2" i="4" s="1"/>
  <c r="G14" i="4"/>
  <c r="I14" i="4" s="1"/>
  <c r="H14" i="4"/>
  <c r="J14" i="4" s="1"/>
  <c r="G13" i="4"/>
  <c r="I13" i="4" s="1"/>
  <c r="H13" i="4"/>
  <c r="J13" i="4" s="1"/>
  <c r="G23" i="4"/>
  <c r="I23" i="4" s="1"/>
  <c r="H23" i="4"/>
  <c r="J23" i="4" s="1"/>
  <c r="G17" i="4"/>
  <c r="I17" i="4" s="1"/>
  <c r="H17" i="4"/>
  <c r="J17" i="4" s="1"/>
  <c r="G12" i="4"/>
  <c r="I12" i="4" s="1"/>
  <c r="H12" i="4"/>
  <c r="J12" i="4" s="1"/>
  <c r="G21" i="4"/>
  <c r="I21" i="4" s="1"/>
  <c r="H21" i="4"/>
  <c r="J21" i="4" s="1"/>
  <c r="G16" i="4"/>
  <c r="I16" i="4" s="1"/>
  <c r="H16" i="4"/>
  <c r="J16" i="4" s="1"/>
  <c r="G24" i="4"/>
  <c r="I24" i="4" s="1"/>
  <c r="H24" i="4"/>
  <c r="J24" i="4" s="1"/>
  <c r="H3" i="4"/>
  <c r="J3" i="4" s="1"/>
  <c r="G3" i="4"/>
  <c r="I3" i="4" s="1"/>
  <c r="F3" i="3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G2" i="3"/>
  <c r="F2" i="3"/>
  <c r="C27" i="1"/>
  <c r="D27" i="1" s="1"/>
  <c r="C26" i="1"/>
  <c r="D41" i="3"/>
  <c r="D31" i="1"/>
  <c r="C31" i="1"/>
  <c r="C30" i="1"/>
  <c r="C20" i="1"/>
  <c r="D20" i="1" s="1"/>
  <c r="C12" i="1"/>
  <c r="B42" i="3"/>
  <c r="F39" i="4"/>
  <c r="D30" i="1" s="1"/>
  <c r="E39" i="4"/>
  <c r="D39" i="4"/>
  <c r="C19" i="1" s="1"/>
  <c r="E19" i="1" s="1"/>
  <c r="F19" i="1" s="1"/>
  <c r="C39" i="4"/>
  <c r="C21" i="1" s="1"/>
  <c r="E39" i="3"/>
  <c r="D39" i="3"/>
  <c r="C39" i="3"/>
  <c r="B39" i="3"/>
  <c r="E12" i="1"/>
  <c r="F12" i="1" s="1"/>
  <c r="C11" i="1"/>
  <c r="C13" i="1" s="1"/>
  <c r="E13" i="1" s="1"/>
  <c r="F13" i="1" s="1"/>
  <c r="B6" i="1"/>
  <c r="B8" i="1" s="1"/>
  <c r="B2" i="1"/>
  <c r="B5" i="1" s="1"/>
  <c r="E5" i="1" s="1"/>
  <c r="D26" i="1" l="1"/>
  <c r="E26" i="1" s="1"/>
  <c r="D21" i="1"/>
  <c r="E21" i="1" s="1"/>
  <c r="F21" i="1" s="1"/>
  <c r="H21" i="1" s="1"/>
  <c r="B41" i="3"/>
  <c r="C18" i="1"/>
  <c r="E18" i="1" s="1"/>
  <c r="F18" i="1" s="1"/>
  <c r="H18" i="1" s="1"/>
  <c r="C41" i="4"/>
  <c r="D22" i="1" s="1"/>
  <c r="C41" i="3"/>
  <c r="D41" i="4"/>
  <c r="C25" i="1"/>
  <c r="D25" i="1" s="1"/>
  <c r="F25" i="1" s="1"/>
  <c r="G25" i="1" s="1"/>
  <c r="E30" i="1"/>
  <c r="C29" i="1"/>
  <c r="D29" i="1" s="1"/>
  <c r="G21" i="1"/>
  <c r="D3" i="1"/>
  <c r="D8" i="1" s="1"/>
  <c r="E11" i="1"/>
  <c r="F11" i="1" s="1"/>
  <c r="H11" i="1" s="1"/>
  <c r="E20" i="1"/>
  <c r="F20" i="1" s="1"/>
  <c r="G20" i="1" s="1"/>
  <c r="H19" i="1"/>
  <c r="G19" i="1"/>
  <c r="G12" i="1"/>
  <c r="H12" i="1"/>
  <c r="H13" i="1"/>
  <c r="G13" i="1"/>
  <c r="E8" i="1"/>
  <c r="F8" i="1" s="1"/>
  <c r="D4" i="1"/>
  <c r="D7" i="1" s="1"/>
  <c r="E7" i="1" s="1"/>
  <c r="F7" i="1" s="1"/>
  <c r="F6" i="1"/>
  <c r="I25" i="1" l="1"/>
  <c r="G18" i="1"/>
  <c r="F29" i="1"/>
  <c r="G29" i="1" s="1"/>
  <c r="I29" i="1" s="1"/>
  <c r="H25" i="1"/>
  <c r="G11" i="1"/>
  <c r="H20" i="1"/>
  <c r="H29" i="1" l="1"/>
</calcChain>
</file>

<file path=xl/sharedStrings.xml><?xml version="1.0" encoding="utf-8"?>
<sst xmlns="http://schemas.openxmlformats.org/spreadsheetml/2006/main" count="234" uniqueCount="108">
  <si>
    <t>Unique cookies to view page per day:</t>
  </si>
  <si>
    <t>Unique cookies to click "Start free trial" per day:</t>
  </si>
  <si>
    <t>Enrollments per day:</t>
  </si>
  <si>
    <t>Click-through-probability on "Start free trial":</t>
  </si>
  <si>
    <t>p</t>
  </si>
  <si>
    <t>z</t>
  </si>
  <si>
    <t>m</t>
  </si>
  <si>
    <t>lower</t>
  </si>
  <si>
    <t>upper</t>
  </si>
  <si>
    <t>se (N = 5k)</t>
  </si>
  <si>
    <t>Probability of enrolling, given click:(Gross Conversion)</t>
  </si>
  <si>
    <t>Probability of payment, given enroll: (retention)</t>
  </si>
  <si>
    <t>Probability of payment, given click (net conversion)</t>
  </si>
  <si>
    <t>N</t>
  </si>
  <si>
    <t>https://discussions.udacity.com/t/final-project-calculating-standard-deviations/27356/19</t>
  </si>
  <si>
    <t>http://www.evanmiller.org/ab-testing/sample-size.html</t>
  </si>
  <si>
    <t>type</t>
  </si>
  <si>
    <t>invar</t>
  </si>
  <si>
    <t>Clicks</t>
  </si>
  <si>
    <t>eval</t>
  </si>
  <si>
    <t>SE</t>
  </si>
  <si>
    <t>Date</t>
  </si>
  <si>
    <t>Pageviews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</si>
  <si>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</si>
  <si>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</si>
  <si>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</si>
  <si>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</si>
  <si>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</si>
  <si>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</si>
  <si>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</si>
  <si>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</si>
  <si>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</si>
  <si>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</si>
  <si>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</si>
  <si>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</si>
  <si>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</si>
  <si>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</si>
  <si>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</si>
  <si>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</si>
  <si>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</si>
  <si>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</si>
  <si>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</si>
  <si>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</si>
  <si>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</si>
  <si>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</si>
  <si>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</si>
  <si>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</si>
  <si>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</si>
  <si>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</si>
  <si>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</si>
  <si>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</si>
  <si>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</si>
  <si>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</si>
  <si>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</si>
  <si>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</si>
  <si>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</si>
  <si>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</si>
  <si>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</si>
  <si>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</si>
  <si>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</si>
  <si>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</si>
  <si>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</si>
  <si>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p actual</t>
  </si>
  <si>
    <t>p click rate</t>
  </si>
  <si>
    <t>calculated pageviews</t>
  </si>
  <si>
    <t>click through probability</t>
  </si>
  <si>
    <t>invar - v. control</t>
  </si>
  <si>
    <t>inv - diff</t>
  </si>
  <si>
    <t>d</t>
  </si>
  <si>
    <t>experimental</t>
  </si>
  <si>
    <t>pooled</t>
  </si>
  <si>
    <t>experiment</t>
  </si>
  <si>
    <t>control</t>
  </si>
  <si>
    <t>N (=clicks)</t>
  </si>
  <si>
    <t>p_gross</t>
  </si>
  <si>
    <t>p_conv</t>
  </si>
  <si>
    <t>d_gross</t>
  </si>
  <si>
    <t>https://discussions.udacity.com/t/sanity-checks-confidence-intervals-observed-values/27175/22</t>
  </si>
  <si>
    <t>DoW</t>
  </si>
  <si>
    <t>Row Labels</t>
  </si>
  <si>
    <t>Sun</t>
  </si>
  <si>
    <t>Mon</t>
  </si>
  <si>
    <t>Tue</t>
  </si>
  <si>
    <t>Wed</t>
  </si>
  <si>
    <t>Thu</t>
  </si>
  <si>
    <t>Fri</t>
  </si>
  <si>
    <t>Sat</t>
  </si>
  <si>
    <t>Grand Total</t>
  </si>
  <si>
    <t>Average of d_gross</t>
  </si>
  <si>
    <t>Average of d_conv</t>
  </si>
  <si>
    <t>d_net</t>
  </si>
  <si>
    <t>Pageviews_cont</t>
  </si>
  <si>
    <t>Clicks_cont</t>
  </si>
  <si>
    <t>Enrollments_cont</t>
  </si>
  <si>
    <t>Payments_cont</t>
  </si>
  <si>
    <t>p_gross_cont</t>
  </si>
  <si>
    <t>p_net_cont</t>
  </si>
  <si>
    <t>Pageviews_exp</t>
  </si>
  <si>
    <t>Clicks_exp</t>
  </si>
  <si>
    <t>Enrollments_exp</t>
  </si>
  <si>
    <t>Payments_exp</t>
  </si>
  <si>
    <t>p_gross_exp</t>
  </si>
  <si>
    <t>p_conv_exo</t>
  </si>
  <si>
    <t>Sum of Clicks_exp</t>
  </si>
  <si>
    <t>Sum of d_gross_calc</t>
  </si>
  <si>
    <t>Sum of d_net_calc</t>
  </si>
  <si>
    <t>p_net</t>
  </si>
  <si>
    <t>cookies to start free triel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</si>
</sst>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00_);_(* \(#,##0.0000\);_(* &quot;-&quot;??_);_(@_)"/>
    <numFmt numFmtId="165" formatCode="0.00000"/>
  </numFmts>
  <fonts count="6" x14ac:knownFonts="1">
    <font>
      <sz val="10"/>
      <color rgb="FF000000"/>
      <name val="Arial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u/>
      <sz val="10"/>
      <color theme="10"/>
      <name val="Arial"/>
      <family val="2"/>
    </font>
    <font>
      <sz val="5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ck">
        <color rgb="FFED7D3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3" borderId="0" xfId="0" applyFont="1" applyFill="1" applyAlignment="1"/>
    <xf numFmtId="0" fontId="3" fillId="0" borderId="0" xfId="0" applyFont="1" applyAlignment="1">
      <alignment wrapText="1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4" fillId="0" borderId="0" xfId="2" applyAlignment="1"/>
    <xf numFmtId="0" fontId="3" fillId="2" borderId="0" xfId="0" applyFont="1" applyFill="1" applyAlignment="1">
      <alignment wrapText="1"/>
    </xf>
    <xf numFmtId="0" fontId="3" fillId="2" borderId="0" xfId="0" applyFont="1" applyFill="1" applyAlignment="1"/>
    <xf numFmtId="0" fontId="2" fillId="2" borderId="0" xfId="0" applyFont="1" applyFill="1" applyAlignment="1"/>
    <xf numFmtId="0" fontId="0" fillId="2" borderId="0" xfId="0" applyFont="1" applyFill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5" fillId="0" borderId="0" xfId="0" applyFont="1" applyAlignment="1">
      <alignment wrapText="1"/>
    </xf>
    <xf numFmtId="164" fontId="0" fillId="0" borderId="0" xfId="1" applyNumberFormat="1" applyFont="1" applyAlignment="1"/>
    <xf numFmtId="165" fontId="2" fillId="0" borderId="0" xfId="0" applyNumberFormat="1" applyFont="1" applyAlignment="1"/>
    <xf numFmtId="164" fontId="2" fillId="0" borderId="0" xfId="1" applyNumberFormat="1" applyFont="1" applyAlignment="1"/>
    <xf numFmtId="3" fontId="1" fillId="0" borderId="1" xfId="0" applyNumberFormat="1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3" fontId="1" fillId="0" borderId="6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Baseline Values.xlsx]Sheet3!PivotTable2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Clicks_exp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Sheet3!$B$4:$B$11</c:f>
              <c:numCache>
                <c:formatCode>General</c:formatCode>
                <c:ptCount val="7"/>
                <c:pt idx="0">
                  <c:v>2899</c:v>
                </c:pt>
                <c:pt idx="1">
                  <c:v>2515</c:v>
                </c:pt>
                <c:pt idx="2">
                  <c:v>2427</c:v>
                </c:pt>
                <c:pt idx="3">
                  <c:v>2360</c:v>
                </c:pt>
                <c:pt idx="4">
                  <c:v>2158</c:v>
                </c:pt>
                <c:pt idx="5">
                  <c:v>2199</c:v>
                </c:pt>
                <c:pt idx="6">
                  <c:v>2702</c:v>
                </c:pt>
              </c:numCache>
            </c:numRef>
          </c:val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d_gross_calc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Sheet3!$A$4:$A$11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Sheet3!$C$4:$C$11</c:f>
              <c:numCache>
                <c:formatCode>General</c:formatCode>
                <c:ptCount val="7"/>
                <c:pt idx="0">
                  <c:v>-2.769592656711875E-2</c:v>
                </c:pt>
                <c:pt idx="1">
                  <c:v>-2.0227547329703083E-2</c:v>
                </c:pt>
                <c:pt idx="2">
                  <c:v>-2.4932202350453653E-2</c:v>
                </c:pt>
                <c:pt idx="3">
                  <c:v>-1.7095544352856928E-2</c:v>
                </c:pt>
                <c:pt idx="4">
                  <c:v>1.7814107638752769E-2</c:v>
                </c:pt>
                <c:pt idx="5">
                  <c:v>-2.5138365881144847E-2</c:v>
                </c:pt>
                <c:pt idx="6">
                  <c:v>-4.0841789433814668E-2</c:v>
                </c:pt>
              </c:numCache>
            </c:numRef>
          </c:val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Sum of d_net_calc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Sheet3!$A$4:$A$11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Sheet3!$D$4:$D$11</c:f>
              <c:numCache>
                <c:formatCode>General</c:formatCode>
                <c:ptCount val="7"/>
                <c:pt idx="0">
                  <c:v>2.3478591748268565E-2</c:v>
                </c:pt>
                <c:pt idx="1">
                  <c:v>-7.2567363710186461E-3</c:v>
                </c:pt>
                <c:pt idx="2">
                  <c:v>-6.8063721428314322E-3</c:v>
                </c:pt>
                <c:pt idx="3">
                  <c:v>9.9209414011486585E-3</c:v>
                </c:pt>
                <c:pt idx="4">
                  <c:v>-5.0347481458062476E-3</c:v>
                </c:pt>
                <c:pt idx="5">
                  <c:v>-2.1883264030130384E-2</c:v>
                </c:pt>
                <c:pt idx="6">
                  <c:v>-3.1634218951182236E-2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522320"/>
        <c:axId val="353820096"/>
      </c:barChart>
      <c:catAx>
        <c:axId val="35152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20096"/>
        <c:crosses val="autoZero"/>
        <c:auto val="1"/>
        <c:lblAlgn val="ctr"/>
        <c:lblOffset val="100"/>
        <c:noMultiLvlLbl val="0"/>
      </c:catAx>
      <c:valAx>
        <c:axId val="3538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2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Baseline Values.xlsx]Sheet3!PivotTable2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Clicks_exp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Sheet3!$B$4:$B$11</c:f>
              <c:numCache>
                <c:formatCode>General</c:formatCode>
                <c:ptCount val="7"/>
                <c:pt idx="0">
                  <c:v>2899</c:v>
                </c:pt>
                <c:pt idx="1">
                  <c:v>2515</c:v>
                </c:pt>
                <c:pt idx="2">
                  <c:v>2427</c:v>
                </c:pt>
                <c:pt idx="3">
                  <c:v>2360</c:v>
                </c:pt>
                <c:pt idx="4">
                  <c:v>2158</c:v>
                </c:pt>
                <c:pt idx="5">
                  <c:v>2199</c:v>
                </c:pt>
                <c:pt idx="6">
                  <c:v>2702</c:v>
                </c:pt>
              </c:numCache>
            </c:numRef>
          </c:val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d_gross_calc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Sheet3!$A$4:$A$11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Sheet3!$C$4:$C$11</c:f>
              <c:numCache>
                <c:formatCode>General</c:formatCode>
                <c:ptCount val="7"/>
                <c:pt idx="0">
                  <c:v>-2.769592656711875E-2</c:v>
                </c:pt>
                <c:pt idx="1">
                  <c:v>-2.0227547329703083E-2</c:v>
                </c:pt>
                <c:pt idx="2">
                  <c:v>-2.4932202350453653E-2</c:v>
                </c:pt>
                <c:pt idx="3">
                  <c:v>-1.7095544352856928E-2</c:v>
                </c:pt>
                <c:pt idx="4">
                  <c:v>1.7814107638752769E-2</c:v>
                </c:pt>
                <c:pt idx="5">
                  <c:v>-2.5138365881144847E-2</c:v>
                </c:pt>
                <c:pt idx="6">
                  <c:v>-4.0841789433814668E-2</c:v>
                </c:pt>
              </c:numCache>
            </c:numRef>
          </c:val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Sum of d_net_calc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Sheet3!$A$4:$A$11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Sheet3!$D$4:$D$11</c:f>
              <c:numCache>
                <c:formatCode>General</c:formatCode>
                <c:ptCount val="7"/>
                <c:pt idx="0">
                  <c:v>2.3478591748268565E-2</c:v>
                </c:pt>
                <c:pt idx="1">
                  <c:v>-7.2567363710186461E-3</c:v>
                </c:pt>
                <c:pt idx="2">
                  <c:v>-6.8063721428314322E-3</c:v>
                </c:pt>
                <c:pt idx="3">
                  <c:v>9.9209414011486585E-3</c:v>
                </c:pt>
                <c:pt idx="4">
                  <c:v>-5.0347481458062476E-3</c:v>
                </c:pt>
                <c:pt idx="5">
                  <c:v>-2.1883264030130384E-2</c:v>
                </c:pt>
                <c:pt idx="6">
                  <c:v>-3.1634218951182236E-2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995144"/>
        <c:axId val="289989656"/>
      </c:barChart>
      <c:catAx>
        <c:axId val="2899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89656"/>
        <c:crosses val="autoZero"/>
        <c:auto val="1"/>
        <c:lblAlgn val="ctr"/>
        <c:lblOffset val="100"/>
        <c:noMultiLvlLbl val="0"/>
      </c:catAx>
      <c:valAx>
        <c:axId val="28998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Baseline Values.xlsx]Sheet1!PivotTable1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Average of d_gross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Sheet1!$B$4:$B$11</c:f>
              <c:numCache>
                <c:formatCode>General</c:formatCode>
                <c:ptCount val="7"/>
                <c:pt idx="0">
                  <c:v>-2.771141178264596E-2</c:v>
                </c:pt>
                <c:pt idx="1">
                  <c:v>-2.1380052398108796E-2</c:v>
                </c:pt>
                <c:pt idx="2">
                  <c:v>-2.3140915125595501E-2</c:v>
                </c:pt>
                <c:pt idx="3">
                  <c:v>-1.6245222464989339E-2</c:v>
                </c:pt>
                <c:pt idx="4">
                  <c:v>1.7300097937141639E-2</c:v>
                </c:pt>
                <c:pt idx="5">
                  <c:v>-2.5102263945292191E-2</c:v>
                </c:pt>
                <c:pt idx="6">
                  <c:v>-4.0373667887999953E-2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Average of d_conv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Sheet1!$C$4:$C$11</c:f>
              <c:numCache>
                <c:formatCode>General</c:formatCode>
                <c:ptCount val="7"/>
                <c:pt idx="0">
                  <c:v>2.3535534530320139E-2</c:v>
                </c:pt>
                <c:pt idx="1">
                  <c:v>-7.6259991338025702E-3</c:v>
                </c:pt>
                <c:pt idx="2">
                  <c:v>-4.6272623944430546E-3</c:v>
                </c:pt>
                <c:pt idx="3">
                  <c:v>9.9329361590924509E-3</c:v>
                </c:pt>
                <c:pt idx="4">
                  <c:v>-3.5542350395087277E-3</c:v>
                </c:pt>
                <c:pt idx="5">
                  <c:v>-2.1435853231657958E-2</c:v>
                </c:pt>
                <c:pt idx="6">
                  <c:v>-3.1209651991484164E-2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805592"/>
        <c:axId val="353809120"/>
      </c:barChart>
      <c:catAx>
        <c:axId val="35380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09120"/>
        <c:crosses val="autoZero"/>
        <c:auto val="1"/>
        <c:lblAlgn val="ctr"/>
        <c:lblOffset val="100"/>
        <c:noMultiLvlLbl val="0"/>
      </c:catAx>
      <c:valAx>
        <c:axId val="3538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0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experiment!$I$1</c:f>
              <c:strCache>
                <c:ptCount val="1"/>
                <c:pt idx="0">
                  <c:v>d_gross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experiment!$B$2:$B$24</c:f>
              <c:strCache>
                <c:ptCount val="23"/>
                <c:pt idx="0">
                  <c:v>Sat</c:v>
                </c:pt>
                <c:pt idx="1">
                  <c:v>Sat</c:v>
                </c:pt>
                <c:pt idx="2">
                  <c:v>Fri</c:v>
                </c:pt>
                <c:pt idx="3">
                  <c:v>Fri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  <c:pt idx="7">
                  <c:v>Sat</c:v>
                </c:pt>
                <c:pt idx="8">
                  <c:v>Mon</c:v>
                </c:pt>
                <c:pt idx="9">
                  <c:v>Tue</c:v>
                </c:pt>
                <c:pt idx="10">
                  <c:v>Thu</c:v>
                </c:pt>
                <c:pt idx="11">
                  <c:v>Mon</c:v>
                </c:pt>
                <c:pt idx="12">
                  <c:v>Sun</c:v>
                </c:pt>
                <c:pt idx="13">
                  <c:v>Mon</c:v>
                </c:pt>
                <c:pt idx="14">
                  <c:v>Sat</c:v>
                </c:pt>
                <c:pt idx="15">
                  <c:v>Wed</c:v>
                </c:pt>
                <c:pt idx="16">
                  <c:v>Thu</c:v>
                </c:pt>
                <c:pt idx="17">
                  <c:v>Sun</c:v>
                </c:pt>
                <c:pt idx="18">
                  <c:v>Sun</c:v>
                </c:pt>
                <c:pt idx="19">
                  <c:v>Fri</c:v>
                </c:pt>
                <c:pt idx="20">
                  <c:v>Wed</c:v>
                </c:pt>
                <c:pt idx="21">
                  <c:v>Tue</c:v>
                </c:pt>
                <c:pt idx="22">
                  <c:v>Sun</c:v>
                </c:pt>
              </c:strCache>
            </c:strRef>
          </c:cat>
          <c:val>
            <c:numRef>
              <c:f>experiment!$I$2:$I$24</c:f>
              <c:numCache>
                <c:formatCode>General</c:formatCode>
                <c:ptCount val="23"/>
                <c:pt idx="0">
                  <c:v>-6.4867753023606922E-2</c:v>
                </c:pt>
                <c:pt idx="1">
                  <c:v>-4.1989721652853279E-2</c:v>
                </c:pt>
                <c:pt idx="2">
                  <c:v>-4.8558777695110245E-2</c:v>
                </c:pt>
                <c:pt idx="3">
                  <c:v>-3.2366652954888248E-2</c:v>
                </c:pt>
                <c:pt idx="4">
                  <c:v>-6.0557638087914895E-2</c:v>
                </c:pt>
                <c:pt idx="5">
                  <c:v>-3.3517172746477392E-2</c:v>
                </c:pt>
                <c:pt idx="6">
                  <c:v>-3.9736386008844826E-3</c:v>
                </c:pt>
                <c:pt idx="7">
                  <c:v>-2.9878853770288122E-2</c:v>
                </c:pt>
                <c:pt idx="8">
                  <c:v>-1.9691222515916762E-2</c:v>
                </c:pt>
                <c:pt idx="9">
                  <c:v>-1.9734672506262901E-2</c:v>
                </c:pt>
                <c:pt idx="10">
                  <c:v>5.6820223373356876E-2</c:v>
                </c:pt>
                <c:pt idx="11">
                  <c:v>-3.0718280760574757E-2</c:v>
                </c:pt>
                <c:pt idx="12">
                  <c:v>-6.6219091642820416E-3</c:v>
                </c:pt>
                <c:pt idx="13">
                  <c:v>-1.3730653917834873E-2</c:v>
                </c:pt>
                <c:pt idx="14">
                  <c:v>-2.475834310525149E-2</c:v>
                </c:pt>
                <c:pt idx="15">
                  <c:v>1.1255404809279779E-2</c:v>
                </c:pt>
                <c:pt idx="16">
                  <c:v>-9.4629096104748012E-4</c:v>
                </c:pt>
                <c:pt idx="17">
                  <c:v>-1.7413890832532225E-2</c:v>
                </c:pt>
                <c:pt idx="18">
                  <c:v>-4.0932765345085581E-2</c:v>
                </c:pt>
                <c:pt idx="19">
                  <c:v>5.6186388141219179E-3</c:v>
                </c:pt>
                <c:pt idx="20">
                  <c:v>-2.64738994577704E-2</c:v>
                </c:pt>
                <c:pt idx="21">
                  <c:v>1.0869565217391297E-2</c:v>
                </c:pt>
                <c:pt idx="22">
                  <c:v>-4.5877081788683993E-2</c:v>
                </c:pt>
              </c:numCache>
            </c:numRef>
          </c:val>
        </c:ser>
        <c:ser>
          <c:idx val="1"/>
          <c:order val="1"/>
          <c:tx>
            <c:strRef>
              <c:f>experiment!$J$1</c:f>
              <c:strCache>
                <c:ptCount val="1"/>
                <c:pt idx="0">
                  <c:v>d_net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experiment!$B$2:$B$24</c:f>
              <c:strCache>
                <c:ptCount val="23"/>
                <c:pt idx="0">
                  <c:v>Sat</c:v>
                </c:pt>
                <c:pt idx="1">
                  <c:v>Sat</c:v>
                </c:pt>
                <c:pt idx="2">
                  <c:v>Fri</c:v>
                </c:pt>
                <c:pt idx="3">
                  <c:v>Fri</c:v>
                </c:pt>
                <c:pt idx="4">
                  <c:v>Tue</c:v>
                </c:pt>
                <c:pt idx="5">
                  <c:v>Wed</c:v>
                </c:pt>
                <c:pt idx="6">
                  <c:v>Thu</c:v>
                </c:pt>
                <c:pt idx="7">
                  <c:v>Sat</c:v>
                </c:pt>
                <c:pt idx="8">
                  <c:v>Mon</c:v>
                </c:pt>
                <c:pt idx="9">
                  <c:v>Tue</c:v>
                </c:pt>
                <c:pt idx="10">
                  <c:v>Thu</c:v>
                </c:pt>
                <c:pt idx="11">
                  <c:v>Mon</c:v>
                </c:pt>
                <c:pt idx="12">
                  <c:v>Sun</c:v>
                </c:pt>
                <c:pt idx="13">
                  <c:v>Mon</c:v>
                </c:pt>
                <c:pt idx="14">
                  <c:v>Sat</c:v>
                </c:pt>
                <c:pt idx="15">
                  <c:v>Wed</c:v>
                </c:pt>
                <c:pt idx="16">
                  <c:v>Thu</c:v>
                </c:pt>
                <c:pt idx="17">
                  <c:v>Sun</c:v>
                </c:pt>
                <c:pt idx="18">
                  <c:v>Sun</c:v>
                </c:pt>
                <c:pt idx="19">
                  <c:v>Fri</c:v>
                </c:pt>
                <c:pt idx="20">
                  <c:v>Wed</c:v>
                </c:pt>
                <c:pt idx="21">
                  <c:v>Tue</c:v>
                </c:pt>
                <c:pt idx="22">
                  <c:v>Sun</c:v>
                </c:pt>
              </c:strCache>
            </c:strRef>
          </c:cat>
          <c:val>
            <c:numRef>
              <c:f>experiment!$J$2:$J$24</c:f>
              <c:numCache>
                <c:formatCode>General</c:formatCode>
                <c:ptCount val="23"/>
                <c:pt idx="0">
                  <c:v>-6.416255118662105E-2</c:v>
                </c:pt>
                <c:pt idx="1">
                  <c:v>-5.2329603082655392E-2</c:v>
                </c:pt>
                <c:pt idx="2">
                  <c:v>-4.641415874870225E-2</c:v>
                </c:pt>
                <c:pt idx="3">
                  <c:v>-4.5194021664609903E-2</c:v>
                </c:pt>
                <c:pt idx="4">
                  <c:v>-3.8931340510060225E-2</c:v>
                </c:pt>
                <c:pt idx="5">
                  <c:v>-2.2394441315896893E-2</c:v>
                </c:pt>
                <c:pt idx="6">
                  <c:v>-2.222431243870697E-2</c:v>
                </c:pt>
                <c:pt idx="7">
                  <c:v>-1.5667469131008763E-2</c:v>
                </c:pt>
                <c:pt idx="8">
                  <c:v>-1.5143935208000434E-2</c:v>
                </c:pt>
                <c:pt idx="9">
                  <c:v>-1.4352620586312426E-2</c:v>
                </c:pt>
                <c:pt idx="10">
                  <c:v>-1.0146869479294537E-2</c:v>
                </c:pt>
                <c:pt idx="11">
                  <c:v>-9.0278525399486165E-3</c:v>
                </c:pt>
                <c:pt idx="12">
                  <c:v>-1.1495096240859148E-3</c:v>
                </c:pt>
                <c:pt idx="13">
                  <c:v>1.2937903465413403E-3</c:v>
                </c:pt>
                <c:pt idx="14">
                  <c:v>7.3210154343485434E-3</c:v>
                </c:pt>
                <c:pt idx="15">
                  <c:v>1.5676040896933086E-2</c:v>
                </c:pt>
                <c:pt idx="16">
                  <c:v>2.1708476799475324E-2</c:v>
                </c:pt>
                <c:pt idx="17">
                  <c:v>2.3642777502091872E-2</c:v>
                </c:pt>
                <c:pt idx="18">
                  <c:v>2.6064773554205542E-2</c:v>
                </c:pt>
                <c:pt idx="19">
                  <c:v>2.7300620718338275E-2</c:v>
                </c:pt>
                <c:pt idx="20">
                  <c:v>3.651720889624116E-2</c:v>
                </c:pt>
                <c:pt idx="21">
                  <c:v>3.9402173913043487E-2</c:v>
                </c:pt>
                <c:pt idx="22">
                  <c:v>4.5584096689069056E-2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815784"/>
        <c:axId val="353816176"/>
      </c:barChart>
      <c:catAx>
        <c:axId val="35381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16176"/>
        <c:crosses val="autoZero"/>
        <c:auto val="1"/>
        <c:lblAlgn val="ctr"/>
        <c:lblOffset val="100"/>
        <c:noMultiLvlLbl val="0"/>
      </c:catAx>
      <c:valAx>
        <c:axId val="3538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1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159544</xdr:colOff>
      <xdr:row>2</xdr:row>
      <xdr:rowOff>61912</xdr:rowOff>
    </xdr:from>
    <xdr:to>
      <xdr:col>26</xdr:col>
      <xdr:colOff>73819</xdr:colOff>
      <xdr:row>19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666750</xdr:colOff>
      <xdr:row>17</xdr:row>
      <xdr:rowOff>111918</xdr:rowOff>
    </xdr:from>
    <xdr:to>
      <xdr:col>6</xdr:col>
      <xdr:colOff>33338</xdr:colOff>
      <xdr:row>34</xdr:row>
      <xdr:rowOff>102393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145256</xdr:colOff>
      <xdr:row>0</xdr:row>
      <xdr:rowOff>78580</xdr:rowOff>
    </xdr:from>
    <xdr:to>
      <xdr:col>10</xdr:col>
      <xdr:colOff>183356</xdr:colOff>
      <xdr:row>17</xdr:row>
      <xdr:rowOff>69055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433387</xdr:colOff>
      <xdr:row>17</xdr:row>
      <xdr:rowOff>64293</xdr:rowOff>
    </xdr:from>
    <xdr:to>
      <xdr:col>18</xdr:col>
      <xdr:colOff>471487</xdr:colOff>
      <xdr:row>34</xdr:row>
      <xdr:rowOff>54768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bark1967" refreshedDate="42496.692272916669" createdVersion="5" refreshedVersion="5" minRefreshableVersion="3" recordCount="23">
  <cacheSource type="worksheet">
    <worksheetSource ref="B1:J24" sheet="experiment"/>
  </cacheSource>
  <cacheFields count="9">
    <cacheField name="DoW" numFmtId="0">
      <sharedItems count="7">
        <s v="Sun"/>
        <s v="Tue"/>
        <s v="Wed"/>
        <s v="Fri"/>
        <s v="Thu"/>
        <s v="Sat"/>
        <s v="Mon"/>
      </sharedItems>
    </cacheField>
    <cacheField name="Pageviews" numFmtId="0">
      <sharedItems containsSemiMixedTypes="0" containsString="0" containsNumber="1" containsInteger="1" minValue="7664" maxValue="10551"/>
    </cacheField>
    <cacheField name="Clicks" numFmtId="0">
      <sharedItems containsSemiMixedTypes="0" containsString="0" containsNumber="1" containsInteger="1" minValue="642" maxValue="884"/>
    </cacheField>
    <cacheField name="Enrollments" numFmtId="0">
      <sharedItems containsSemiMixedTypes="0" containsString="0" containsNumber="1" containsInteger="1" minValue="94" maxValue="213"/>
    </cacheField>
    <cacheField name="Payments" numFmtId="0">
      <sharedItems containsSemiMixedTypes="0" containsString="0" containsNumber="1" containsInteger="1" minValue="34" maxValue="123"/>
    </cacheField>
    <cacheField name="p_gross" numFmtId="0">
      <sharedItems containsSemiMixedTypes="0" containsString="0" containsNumber="1" minValue="0.14417177914110429" maxValue="0.28434065934065933"/>
    </cacheField>
    <cacheField name="p_conv" numFmtId="0">
      <sharedItems containsSemiMixedTypes="0" containsString="0" containsNumber="1" minValue="4.9562682215743441E-2" maxValue="0.17036011080332411"/>
    </cacheField>
    <cacheField name="d_gross" numFmtId="0">
      <sharedItems containsSemiMixedTypes="0" containsString="0" containsNumber="1" minValue="-6.4867753023606922E-2" maxValue="5.6820223373356876E-2"/>
    </cacheField>
    <cacheField name="d_conv" numFmtId="0">
      <sharedItems containsSemiMixedTypes="0" containsString="0" containsNumber="1" minValue="-6.416255118662105E-2" maxValue="4.5584096689069056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bark1967" refreshedDate="42496.701876620369" createdVersion="5" refreshedVersion="5" minRefreshableVersion="3" recordCount="23">
  <cacheSource type="worksheet">
    <worksheetSource ref="A1:P24" sheet="combo cont+exp"/>
  </cacheSource>
  <cacheFields count="22">
    <cacheField name="Date" numFmtId="0">
      <sharedItems count="23">
        <s v="Fri, Oct 17"/>
        <s v="Fri, Oct 24"/>
        <s v="Fri, Oct 31"/>
        <s v="Mon, Oct 13"/>
        <s v="Mon, Oct 20"/>
        <s v="Mon, Oct 27"/>
        <s v="Sat, Nov 1"/>
        <s v="Sat, Oct 11"/>
        <s v="Sat, Oct 18"/>
        <s v="Sat, Oct 25"/>
        <s v="Sun, Nov 2"/>
        <s v="Sun, Oct 12"/>
        <s v="Sun, Oct 19"/>
        <s v="Sun, Oct 26"/>
        <s v="Thu, Oct 16"/>
        <s v="Thu, Oct 23"/>
        <s v="Thu, Oct 30"/>
        <s v="Tue, Oct 14"/>
        <s v="Tue, Oct 21"/>
        <s v="Tue, Oct 28"/>
        <s v="Wed, Oct 15"/>
        <s v="Wed, Oct 22"/>
        <s v="Wed, Oct 29"/>
      </sharedItems>
    </cacheField>
    <cacheField name="DoW" numFmtId="0">
      <sharedItems count="7">
        <s v="Fri"/>
        <s v="Mon"/>
        <s v="Sat"/>
        <s v="Sun"/>
        <s v="Thu"/>
        <s v="Tue"/>
        <s v="Wed"/>
      </sharedItems>
    </cacheField>
    <cacheField name="Pageviews_cont" numFmtId="0">
      <sharedItems containsSemiMixedTypes="0" containsString="0" containsNumber="1" containsInteger="1" minValue="7434" maxValue="10667" count="23">
        <n v="9008"/>
        <n v="9434"/>
        <n v="8890"/>
        <n v="10511"/>
        <n v="10667"/>
        <n v="9535"/>
        <n v="8460"/>
        <n v="7723"/>
        <n v="7434"/>
        <n v="8687"/>
        <n v="8836"/>
        <n v="9102"/>
        <n v="8459"/>
        <n v="8896"/>
        <n v="9670"/>
        <n v="8324"/>
        <n v="9345"/>
        <n v="9871"/>
        <n v="10660"/>
        <n v="9363"/>
        <n v="10014"/>
        <n v="9947"/>
        <n v="9327"/>
      </sharedItems>
    </cacheField>
    <cacheField name="Clicks_cont" numFmtId="0">
      <sharedItems containsSemiMixedTypes="0" containsString="0" containsNumber="1" containsInteger="1" minValue="632" maxValue="909"/>
    </cacheField>
    <cacheField name="Enrollments_cont" numFmtId="0">
      <sharedItems containsSemiMixedTypes="0" containsString="0" containsNumber="1" containsInteger="1" minValue="110" maxValue="233"/>
    </cacheField>
    <cacheField name="Payments_cont" numFmtId="0">
      <sharedItems containsSemiMixedTypes="0" containsString="0" containsNumber="1" containsInteger="1" minValue="56" maxValue="128"/>
    </cacheField>
    <cacheField name="p_gross_cont" numFmtId="0">
      <sharedItems containsSemiMixedTypes="0" containsString="0" containsNumber="1" minValue="0.16767922235722965" maxValue="0.32689450222882616"/>
    </cacheField>
    <cacheField name="p_net_cont" numFmtId="0">
      <sharedItems containsSemiMixedTypes="0" containsString="0" containsNumber="1" minValue="7.6463560334528072E-2" maxValue="0.18523878437047755"/>
    </cacheField>
    <cacheField name="Pageviews_exp" numFmtId="0">
      <sharedItems containsSemiMixedTypes="0" containsString="0" containsNumber="1" containsInteger="1" minValue="7664" maxValue="10551"/>
    </cacheField>
    <cacheField name="Clicks_exp" numFmtId="0">
      <sharedItems containsSemiMixedTypes="0" containsString="0" containsNumber="1" containsInteger="1" minValue="642" maxValue="884"/>
    </cacheField>
    <cacheField name="Enrollments_exp" numFmtId="0">
      <sharedItems containsSemiMixedTypes="0" containsString="0" containsNumber="1" containsInteger="1" minValue="94" maxValue="213"/>
    </cacheField>
    <cacheField name="Payments_exp" numFmtId="0">
      <sharedItems containsSemiMixedTypes="0" containsString="0" containsNumber="1" containsInteger="1" minValue="34" maxValue="123"/>
    </cacheField>
    <cacheField name="p_gross_exp" numFmtId="0">
      <sharedItems containsSemiMixedTypes="0" containsString="0" containsNumber="1" minValue="0.14417177914110429" maxValue="0.28434065934065933"/>
    </cacheField>
    <cacheField name="p_conv_exo" numFmtId="0">
      <sharedItems containsSemiMixedTypes="0" containsString="0" containsNumber="1" minValue="4.9562682215743441E-2" maxValue="0.17036011080332411"/>
    </cacheField>
    <cacheField name="d_gross" numFmtId="0">
      <sharedItems containsSemiMixedTypes="0" containsString="0" containsNumber="1" minValue="-6.4867753023606922E-2" maxValue="5.6820223373356876E-2"/>
    </cacheField>
    <cacheField name="d_net" numFmtId="0">
      <sharedItems containsSemiMixedTypes="0" containsString="0" containsNumber="1" minValue="-6.416255118662105E-2" maxValue="4.5584096689069056E-2"/>
    </cacheField>
    <cacheField name="Average Gross" numFmtId="0" formula="Enrollments_cont /Clicks_cont" databaseField="0"/>
    <cacheField name="Net Average" numFmtId="0" formula="Payments_cont /Clicks_cont" databaseField="0"/>
    <cacheField name="Average Gross_cont" numFmtId="0" formula="Enrollments_cont/Clicks_cont" databaseField="0"/>
    <cacheField name="Net Average_cont" numFmtId="0" formula="Payments_cont/Clicks_cont" databaseField="0"/>
    <cacheField name="d_gross_calc" numFmtId="0" formula=" (Enrollments_exp /Clicks_exp )-(Enrollments_cont /Clicks_cont )" databaseField="0"/>
    <cacheField name="d_net_calc" numFmtId="0" formula=" (Payments_exp /Clicks_exp )-(Payments_cont /Clicks_cont 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n v="8836"/>
    <n v="724"/>
    <n v="182"/>
    <n v="103"/>
    <n v="0.25138121546961328"/>
    <n v="0.14226519337016574"/>
    <n v="-4.5877081788683993E-2"/>
    <n v="4.5584096689069056E-2"/>
  </r>
  <r>
    <x v="1"/>
    <n v="9396"/>
    <n v="736"/>
    <n v="162"/>
    <n v="120"/>
    <n v="0.22010869565217392"/>
    <n v="0.16304347826086957"/>
    <n v="1.0869565217391297E-2"/>
    <n v="3.9402173913043487E-2"/>
  </r>
  <r>
    <x v="2"/>
    <n v="9793"/>
    <n v="832"/>
    <n v="140"/>
    <n v="94"/>
    <n v="0.16826923076923078"/>
    <n v="0.11298076923076923"/>
    <n v="-2.64738994577704E-2"/>
    <n v="3.651720889624116E-2"/>
  </r>
  <r>
    <x v="3"/>
    <n v="8715"/>
    <n v="722"/>
    <n v="182"/>
    <n v="123"/>
    <n v="0.25207756232686979"/>
    <n v="0.17036011080332411"/>
    <n v="5.6186388141219179E-3"/>
    <n v="2.7300620718338275E-2"/>
  </r>
  <r>
    <x v="0"/>
    <n v="9288"/>
    <n v="785"/>
    <n v="116"/>
    <n v="91"/>
    <n v="0.14777070063694267"/>
    <n v="0.11592356687898089"/>
    <n v="-4.0932765345085581E-2"/>
    <n v="2.6064773554205542E-2"/>
  </r>
  <r>
    <x v="0"/>
    <n v="8434"/>
    <n v="697"/>
    <n v="120"/>
    <n v="77"/>
    <n v="0.17216642754662842"/>
    <n v="0.11047345767575323"/>
    <n v="-1.7413890832532225E-2"/>
    <n v="2.3642777502091872E-2"/>
  </r>
  <r>
    <x v="4"/>
    <n v="8176"/>
    <n v="642"/>
    <n v="122"/>
    <n v="68"/>
    <n v="0.19003115264797507"/>
    <n v="0.1059190031152648"/>
    <n v="-9.4629096104748012E-4"/>
    <n v="2.1708476799475324E-2"/>
  </r>
  <r>
    <x v="2"/>
    <n v="9262"/>
    <n v="727"/>
    <n v="201"/>
    <n v="96"/>
    <n v="0.27647867950481431"/>
    <n v="0.13204951856946354"/>
    <n v="1.1255404809279779E-2"/>
    <n v="1.5676040896933086E-2"/>
  </r>
  <r>
    <x v="5"/>
    <n v="8448"/>
    <n v="695"/>
    <n v="142"/>
    <n v="100"/>
    <n v="0.20431654676258992"/>
    <n v="0.14388489208633093"/>
    <n v="-2.475834310525149E-2"/>
    <n v="7.3210154343485434E-3"/>
  </r>
  <r>
    <x v="6"/>
    <n v="10496"/>
    <n v="860"/>
    <n v="153"/>
    <n v="98"/>
    <n v="0.17790697674418604"/>
    <n v="0.11395348837209303"/>
    <n v="-1.3730653917834873E-2"/>
    <n v="1.2937903465413403E-3"/>
  </r>
  <r>
    <x v="0"/>
    <n v="8881"/>
    <n v="693"/>
    <n v="153"/>
    <n v="101"/>
    <n v="0.22077922077922077"/>
    <n v="0.14574314574314573"/>
    <n v="-6.6219091642820416E-3"/>
    <n v="-1.1495096240859148E-3"/>
  </r>
  <r>
    <x v="6"/>
    <n v="9655"/>
    <n v="771"/>
    <n v="213"/>
    <n v="119"/>
    <n v="0.27626459143968873"/>
    <n v="0.15434500648508431"/>
    <n v="-3.0718280760574757E-2"/>
    <n v="-9.0278525399486165E-3"/>
  </r>
  <r>
    <x v="4"/>
    <n v="9308"/>
    <n v="728"/>
    <n v="207"/>
    <n v="67"/>
    <n v="0.28434065934065933"/>
    <n v="9.2032967032967039E-2"/>
    <n v="5.6820223373356876E-2"/>
    <n v="-1.0146869479294537E-2"/>
  </r>
  <r>
    <x v="1"/>
    <n v="9867"/>
    <n v="827"/>
    <n v="138"/>
    <n v="92"/>
    <n v="0.16686819830713423"/>
    <n v="0.11124546553808948"/>
    <n v="-1.9734672506262901E-2"/>
    <n v="-1.4352620586312426E-2"/>
  </r>
  <r>
    <x v="6"/>
    <n v="10480"/>
    <n v="884"/>
    <n v="145"/>
    <n v="79"/>
    <n v="0.16402714932126697"/>
    <n v="8.9366515837104074E-2"/>
    <n v="-1.9691222515916762E-2"/>
    <n v="-1.5143935208000434E-2"/>
  </r>
  <r>
    <x v="5"/>
    <n v="7664"/>
    <n v="652"/>
    <n v="94"/>
    <n v="62"/>
    <n v="0.14417177914110429"/>
    <n v="9.5092024539877307E-2"/>
    <n v="-2.9878853770288122E-2"/>
    <n v="-1.5667469131008763E-2"/>
  </r>
  <r>
    <x v="4"/>
    <n v="9500"/>
    <n v="788"/>
    <n v="129"/>
    <n v="61"/>
    <n v="0.16370558375634517"/>
    <n v="7.7411167512690351E-2"/>
    <n v="-3.9736386008844826E-3"/>
    <n v="-2.222431243870697E-2"/>
  </r>
  <r>
    <x v="2"/>
    <n v="9737"/>
    <n v="801"/>
    <n v="128"/>
    <n v="70"/>
    <n v="0.15980024968789014"/>
    <n v="8.7390761548064924E-2"/>
    <n v="-3.3517172746477392E-2"/>
    <n v="-2.2394441315896893E-2"/>
  </r>
  <r>
    <x v="1"/>
    <n v="10551"/>
    <n v="864"/>
    <n v="143"/>
    <n v="71"/>
    <n v="0.16550925925925927"/>
    <n v="8.217592592592593E-2"/>
    <n v="-6.0557638087914895E-2"/>
    <n v="-3.8931340510060225E-2"/>
  </r>
  <r>
    <x v="3"/>
    <n v="9088"/>
    <n v="780"/>
    <n v="127"/>
    <n v="44"/>
    <n v="0.16282051282051282"/>
    <n v="5.6410256410256411E-2"/>
    <n v="-3.2366652954888248E-2"/>
    <n v="-4.5194021664609903E-2"/>
  </r>
  <r>
    <x v="3"/>
    <n v="9402"/>
    <n v="697"/>
    <n v="194"/>
    <n v="94"/>
    <n v="0.27833572453371591"/>
    <n v="0.13486370157819225"/>
    <n v="-4.8558777695110245E-2"/>
    <n v="-4.641415874870225E-2"/>
  </r>
  <r>
    <x v="5"/>
    <n v="7716"/>
    <n v="686"/>
    <n v="105"/>
    <n v="34"/>
    <n v="0.15306122448979592"/>
    <n v="4.9562682215743441E-2"/>
    <n v="-4.1989721652853279E-2"/>
    <n v="-5.2329603082655392E-2"/>
  </r>
  <r>
    <x v="5"/>
    <n v="8669"/>
    <n v="669"/>
    <n v="127"/>
    <n v="81"/>
    <n v="0.18983557548579971"/>
    <n v="0.1210762331838565"/>
    <n v="-6.4867753023606922E-2"/>
    <n v="-6.416255118662105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">
  <r>
    <x v="0"/>
    <x v="0"/>
    <x v="0"/>
    <n v="748"/>
    <n v="146"/>
    <n v="76"/>
    <n v="0.19518716577540107"/>
    <n v="0.10160427807486631"/>
    <n v="9088"/>
    <n v="780"/>
    <n v="127"/>
    <n v="44"/>
    <n v="0.16282051282051282"/>
    <n v="5.6410256410256411E-2"/>
    <n v="-3.2366652954888248E-2"/>
    <n v="-4.5194021664609903E-2"/>
  </r>
  <r>
    <x v="1"/>
    <x v="0"/>
    <x v="1"/>
    <n v="673"/>
    <n v="220"/>
    <n v="122"/>
    <n v="0.32689450222882616"/>
    <n v="0.1812778603268945"/>
    <n v="9402"/>
    <n v="697"/>
    <n v="194"/>
    <n v="94"/>
    <n v="0.27833572453371591"/>
    <n v="0.13486370157819225"/>
    <n v="-4.8558777695110245E-2"/>
    <n v="-4.641415874870225E-2"/>
  </r>
  <r>
    <x v="2"/>
    <x v="0"/>
    <x v="2"/>
    <n v="706"/>
    <n v="174"/>
    <n v="101"/>
    <n v="0.24645892351274787"/>
    <n v="0.14305949008498584"/>
    <n v="8715"/>
    <n v="722"/>
    <n v="182"/>
    <n v="123"/>
    <n v="0.25207756232686979"/>
    <n v="0.17036011080332411"/>
    <n v="5.6186388141219179E-3"/>
    <n v="2.7300620718338275E-2"/>
  </r>
  <r>
    <x v="3"/>
    <x v="1"/>
    <x v="3"/>
    <n v="909"/>
    <n v="167"/>
    <n v="95"/>
    <n v="0.18371837183718373"/>
    <n v="0.10451045104510451"/>
    <n v="10480"/>
    <n v="884"/>
    <n v="145"/>
    <n v="79"/>
    <n v="0.16402714932126697"/>
    <n v="8.9366515837104074E-2"/>
    <n v="-1.9691222515916762E-2"/>
    <n v="-1.5143935208000434E-2"/>
  </r>
  <r>
    <x v="4"/>
    <x v="1"/>
    <x v="4"/>
    <n v="861"/>
    <n v="165"/>
    <n v="97"/>
    <n v="0.19163763066202091"/>
    <n v="0.11265969802555169"/>
    <n v="10496"/>
    <n v="860"/>
    <n v="153"/>
    <n v="98"/>
    <n v="0.17790697674418604"/>
    <n v="0.11395348837209303"/>
    <n v="-1.3730653917834873E-2"/>
    <n v="1.2937903465413403E-3"/>
  </r>
  <r>
    <x v="5"/>
    <x v="1"/>
    <x v="5"/>
    <n v="759"/>
    <n v="233"/>
    <n v="124"/>
    <n v="0.30698287220026349"/>
    <n v="0.16337285902503293"/>
    <n v="9655"/>
    <n v="771"/>
    <n v="213"/>
    <n v="119"/>
    <n v="0.27626459143968873"/>
    <n v="0.15434500648508431"/>
    <n v="-3.0718280760574757E-2"/>
    <n v="-9.0278525399486165E-3"/>
  </r>
  <r>
    <x v="6"/>
    <x v="2"/>
    <x v="6"/>
    <n v="681"/>
    <n v="156"/>
    <n v="93"/>
    <n v="0.22907488986784141"/>
    <n v="0.13656387665198239"/>
    <n v="8448"/>
    <n v="695"/>
    <n v="142"/>
    <n v="100"/>
    <n v="0.20431654676258992"/>
    <n v="0.14388489208633093"/>
    <n v="-2.475834310525149E-2"/>
    <n v="7.3210154343485434E-3"/>
  </r>
  <r>
    <x v="7"/>
    <x v="2"/>
    <x v="7"/>
    <n v="687"/>
    <n v="134"/>
    <n v="70"/>
    <n v="0.1950509461426492"/>
    <n v="0.10189228529839883"/>
    <n v="7716"/>
    <n v="686"/>
    <n v="105"/>
    <n v="34"/>
    <n v="0.15306122448979592"/>
    <n v="4.9562682215743441E-2"/>
    <n v="-4.1989721652853279E-2"/>
    <n v="-5.2329603082655392E-2"/>
  </r>
  <r>
    <x v="8"/>
    <x v="2"/>
    <x v="8"/>
    <n v="632"/>
    <n v="110"/>
    <n v="70"/>
    <n v="0.17405063291139242"/>
    <n v="0.11075949367088607"/>
    <n v="7664"/>
    <n v="652"/>
    <n v="94"/>
    <n v="62"/>
    <n v="0.14417177914110429"/>
    <n v="9.5092024539877307E-2"/>
    <n v="-2.9878853770288122E-2"/>
    <n v="-1.5667469131008763E-2"/>
  </r>
  <r>
    <x v="9"/>
    <x v="2"/>
    <x v="9"/>
    <n v="691"/>
    <n v="176"/>
    <n v="128"/>
    <n v="0.25470332850940663"/>
    <n v="0.18523878437047755"/>
    <n v="8669"/>
    <n v="669"/>
    <n v="127"/>
    <n v="81"/>
    <n v="0.18983557548579971"/>
    <n v="0.1210762331838565"/>
    <n v="-6.4867753023606922E-2"/>
    <n v="-6.416255118662105E-2"/>
  </r>
  <r>
    <x v="10"/>
    <x v="3"/>
    <x v="10"/>
    <n v="693"/>
    <n v="206"/>
    <n v="67"/>
    <n v="0.29725829725829728"/>
    <n v="9.6681096681096687E-2"/>
    <n v="8836"/>
    <n v="724"/>
    <n v="182"/>
    <n v="103"/>
    <n v="0.25138121546961328"/>
    <n v="0.14226519337016574"/>
    <n v="-4.5877081788683993E-2"/>
    <n v="4.5584096689069056E-2"/>
  </r>
  <r>
    <x v="11"/>
    <x v="3"/>
    <x v="11"/>
    <n v="779"/>
    <n v="147"/>
    <n v="70"/>
    <n v="0.18870346598202825"/>
    <n v="8.9858793324775352E-2"/>
    <n v="9288"/>
    <n v="785"/>
    <n v="116"/>
    <n v="91"/>
    <n v="0.14777070063694267"/>
    <n v="0.11592356687898089"/>
    <n v="-4.0932765345085581E-2"/>
    <n v="2.6064773554205542E-2"/>
  </r>
  <r>
    <x v="12"/>
    <x v="3"/>
    <x v="12"/>
    <n v="691"/>
    <n v="131"/>
    <n v="60"/>
    <n v="0.18958031837916064"/>
    <n v="8.6830680173661356E-2"/>
    <n v="8434"/>
    <n v="697"/>
    <n v="120"/>
    <n v="77"/>
    <n v="0.17216642754662842"/>
    <n v="0.11047345767575323"/>
    <n v="-1.7413890832532225E-2"/>
    <n v="2.3642777502091872E-2"/>
  </r>
  <r>
    <x v="13"/>
    <x v="3"/>
    <x v="13"/>
    <n v="708"/>
    <n v="161"/>
    <n v="104"/>
    <n v="0.22740112994350281"/>
    <n v="0.14689265536723164"/>
    <n v="8881"/>
    <n v="693"/>
    <n v="153"/>
    <n v="101"/>
    <n v="0.22077922077922077"/>
    <n v="0.14574314574314573"/>
    <n v="-6.6219091642820416E-3"/>
    <n v="-1.1495096240859148E-3"/>
  </r>
  <r>
    <x v="14"/>
    <x v="4"/>
    <x v="14"/>
    <n v="823"/>
    <n v="138"/>
    <n v="82"/>
    <n v="0.16767922235722965"/>
    <n v="9.9635479951397321E-2"/>
    <n v="9500"/>
    <n v="788"/>
    <n v="129"/>
    <n v="61"/>
    <n v="0.16370558375634517"/>
    <n v="7.7411167512690351E-2"/>
    <n v="-3.9736386008844826E-3"/>
    <n v="-2.222431243870697E-2"/>
  </r>
  <r>
    <x v="15"/>
    <x v="4"/>
    <x v="15"/>
    <n v="665"/>
    <n v="127"/>
    <n v="56"/>
    <n v="0.19097744360902255"/>
    <n v="8.4210526315789472E-2"/>
    <n v="8176"/>
    <n v="642"/>
    <n v="122"/>
    <n v="68"/>
    <n v="0.19003115264797507"/>
    <n v="0.1059190031152648"/>
    <n v="-9.4629096104748012E-4"/>
    <n v="2.1708476799475324E-2"/>
  </r>
  <r>
    <x v="16"/>
    <x v="4"/>
    <x v="16"/>
    <n v="734"/>
    <n v="167"/>
    <n v="75"/>
    <n v="0.22752043596730245"/>
    <n v="0.10217983651226158"/>
    <n v="9308"/>
    <n v="728"/>
    <n v="207"/>
    <n v="67"/>
    <n v="0.28434065934065933"/>
    <n v="9.2032967032967039E-2"/>
    <n v="5.6820223373356876E-2"/>
    <n v="-1.0146869479294537E-2"/>
  </r>
  <r>
    <x v="17"/>
    <x v="5"/>
    <x v="17"/>
    <n v="836"/>
    <n v="156"/>
    <n v="105"/>
    <n v="0.18660287081339713"/>
    <n v="0.1255980861244019"/>
    <n v="9867"/>
    <n v="827"/>
    <n v="138"/>
    <n v="92"/>
    <n v="0.16686819830713423"/>
    <n v="0.11124546553808948"/>
    <n v="-1.9734672506262901E-2"/>
    <n v="-1.4352620586312426E-2"/>
  </r>
  <r>
    <x v="18"/>
    <x v="5"/>
    <x v="18"/>
    <n v="867"/>
    <n v="196"/>
    <n v="105"/>
    <n v="0.22606689734717417"/>
    <n v="0.12110726643598616"/>
    <n v="10551"/>
    <n v="864"/>
    <n v="143"/>
    <n v="71"/>
    <n v="0.16550925925925927"/>
    <n v="8.217592592592593E-2"/>
    <n v="-6.0557638087914895E-2"/>
    <n v="-3.8931340510060225E-2"/>
  </r>
  <r>
    <x v="19"/>
    <x v="5"/>
    <x v="19"/>
    <n v="736"/>
    <n v="154"/>
    <n v="91"/>
    <n v="0.20923913043478262"/>
    <n v="0.12364130434782608"/>
    <n v="9396"/>
    <n v="736"/>
    <n v="162"/>
    <n v="120"/>
    <n v="0.22010869565217392"/>
    <n v="0.16304347826086957"/>
    <n v="1.0869565217391297E-2"/>
    <n v="3.9402173913043487E-2"/>
  </r>
  <r>
    <x v="20"/>
    <x v="6"/>
    <x v="20"/>
    <n v="837"/>
    <n v="163"/>
    <n v="64"/>
    <n v="0.19474313022700118"/>
    <n v="7.6463560334528072E-2"/>
    <n v="9793"/>
    <n v="832"/>
    <n v="140"/>
    <n v="94"/>
    <n v="0.16826923076923078"/>
    <n v="0.11298076923076923"/>
    <n v="-2.64738994577704E-2"/>
    <n v="3.651720889624116E-2"/>
  </r>
  <r>
    <x v="21"/>
    <x v="6"/>
    <x v="21"/>
    <n v="838"/>
    <n v="162"/>
    <n v="92"/>
    <n v="0.19331742243436753"/>
    <n v="0.10978520286396182"/>
    <n v="9737"/>
    <n v="801"/>
    <n v="128"/>
    <n v="70"/>
    <n v="0.15980024968789014"/>
    <n v="8.7390761548064924E-2"/>
    <n v="-3.3517172746477392E-2"/>
    <n v="-2.2394441315896893E-2"/>
  </r>
  <r>
    <x v="22"/>
    <x v="6"/>
    <x v="22"/>
    <n v="739"/>
    <n v="196"/>
    <n v="86"/>
    <n v="0.26522327469553453"/>
    <n v="0.11637347767253045"/>
    <n v="9262"/>
    <n v="727"/>
    <n v="201"/>
    <n v="96"/>
    <n v="0.27647867950481431"/>
    <n v="0.13204951856946354"/>
    <n v="1.1255404809279779E-2"/>
    <n v="1.5676040896933086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7">
  <location ref="A3:D11" firstHeaderRow="0" firstDataRow="1" firstDataCol="1"/>
  <pivotFields count="22"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Row" multipleItemSelectionAllowed="1" showAll="0">
      <items count="8">
        <item x="3"/>
        <item x="1"/>
        <item x="5"/>
        <item x="6"/>
        <item x="4"/>
        <item x="0"/>
        <item x="2"/>
        <item t="default"/>
      </items>
    </pivotField>
    <pivotField showAll="0">
      <items count="24">
        <item x="8"/>
        <item x="7"/>
        <item x="15"/>
        <item x="12"/>
        <item x="6"/>
        <item x="9"/>
        <item x="10"/>
        <item x="2"/>
        <item x="13"/>
        <item x="0"/>
        <item x="11"/>
        <item x="22"/>
        <item x="16"/>
        <item x="19"/>
        <item x="1"/>
        <item x="5"/>
        <item x="14"/>
        <item x="17"/>
        <item x="21"/>
        <item x="20"/>
        <item x="3"/>
        <item x="18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licks_exp" fld="9" baseField="0" baseItem="0"/>
    <dataField name="Sum of d_gross_calc" fld="20" baseField="0" baseItem="0"/>
    <dataField name="Sum of d_net_calc" fld="21" baseField="0" baseItem="0"/>
  </dataFields>
  <chartFormats count="6">
    <chartFormat chart="1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C11" firstHeaderRow="0" firstDataRow="1" firstDataCol="1"/>
  <pivotFields count="9">
    <pivotField axis="axisRow" showAll="0">
      <items count="8">
        <item x="0"/>
        <item x="6"/>
        <item x="1"/>
        <item x="2"/>
        <item x="4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_gross" fld="7" subtotal="average" baseField="0" baseItem="0"/>
    <dataField name="Average of d_conv" fld="8" subtotal="average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P2" totalsRowShown="0">
  <autoFilter ref="A1:P2"/>
  <tableColumns count="16">
    <tableColumn id="1" name="Date"/>
    <tableColumn id="2" name="DoW"/>
    <tableColumn id="3" name="Pageviews_cont"/>
    <tableColumn id="4" name="Clicks_cont"/>
    <tableColumn id="5" name="Enrollments_cont"/>
    <tableColumn id="6" name="Payments_cont"/>
    <tableColumn id="7" name="p_gross_cont"/>
    <tableColumn id="8" name="p_net_cont"/>
    <tableColumn id="9" name="Pageviews_exp"/>
    <tableColumn id="10" name="Clicks_exp"/>
    <tableColumn id="11" name="Enrollments_exp"/>
    <tableColumn id="12" name="Payments_exp"/>
    <tableColumn id="13" name="p_gross_exp"/>
    <tableColumn id="14" name="p_conv_exo"/>
    <tableColumn id="15" name="d_gross"/>
    <tableColumn id="16" name="d_n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vanmiller.org/ab-testing/sample-siz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E7" sqref="E7"/>
    </sheetView>
  </sheetViews>
  <sheetFormatPr defaultColWidth="14.3984375" defaultRowHeight="15.75" customHeight="1" x14ac:dyDescent="0.35"/>
  <cols>
    <col min="1" max="1" width="25.53125" style="1" customWidth="1"/>
    <col min="2" max="2" width="8.53125" style="1" bestFit="1" customWidth="1"/>
    <col min="3" max="3" width="10.265625" style="1" customWidth="1"/>
    <col min="4" max="4" width="10.53125" style="1" bestFit="1" customWidth="1"/>
    <col min="5" max="5" width="10.265625" style="1" bestFit="1" customWidth="1"/>
    <col min="6" max="6" width="10.265625" style="1" customWidth="1"/>
  </cols>
  <sheetData>
    <row r="1" spans="1:10" ht="15.75" customHeight="1" x14ac:dyDescent="0.35">
      <c r="C1" s="1" t="s">
        <v>4</v>
      </c>
      <c r="D1" s="1" t="s">
        <v>13</v>
      </c>
      <c r="E1" s="1" t="s">
        <v>9</v>
      </c>
      <c r="G1" t="s">
        <v>5</v>
      </c>
      <c r="H1" t="s">
        <v>6</v>
      </c>
      <c r="I1" t="s">
        <v>7</v>
      </c>
      <c r="J1" t="s">
        <v>8</v>
      </c>
    </row>
    <row r="2" spans="1:10" ht="23.25" x14ac:dyDescent="0.35">
      <c r="A2" s="4" t="s">
        <v>0</v>
      </c>
      <c r="B2" s="1">
        <f>40000</f>
        <v>40000</v>
      </c>
      <c r="D2" s="1">
        <v>5000</v>
      </c>
    </row>
    <row r="3" spans="1:10" ht="23.25" x14ac:dyDescent="0.35">
      <c r="A3" s="5" t="s">
        <v>1</v>
      </c>
      <c r="B3" s="3">
        <v>3200</v>
      </c>
      <c r="C3" s="1">
        <v>0.5</v>
      </c>
      <c r="D3" s="1">
        <f>D2*B3/B2</f>
        <v>400</v>
      </c>
      <c r="F3" s="1" t="s">
        <v>107</v>
      </c>
    </row>
    <row r="4" spans="1:10" ht="12.75" x14ac:dyDescent="0.35">
      <c r="A4" s="4" t="s">
        <v>2</v>
      </c>
      <c r="B4" s="2">
        <v>660</v>
      </c>
      <c r="D4" s="1">
        <f>D3*B4/B3</f>
        <v>82.5</v>
      </c>
    </row>
    <row r="5" spans="1:10" ht="23.25" x14ac:dyDescent="0.35">
      <c r="A5" s="4" t="s">
        <v>3</v>
      </c>
      <c r="B5" s="1">
        <f t="shared" ref="B5:B6" si="0">B3/B2</f>
        <v>0.08</v>
      </c>
      <c r="E5" s="1">
        <f>SQRT(B5*(1-B5)/5000)</f>
        <v>3.8366652186501756E-3</v>
      </c>
    </row>
    <row r="6" spans="1:10" ht="23.25" x14ac:dyDescent="0.35">
      <c r="A6" s="6" t="s">
        <v>10</v>
      </c>
      <c r="B6" s="1">
        <f t="shared" si="0"/>
        <v>0.20624999999999999</v>
      </c>
      <c r="D6" s="1">
        <v>400</v>
      </c>
      <c r="E6" s="1">
        <f>SQRT(B6*(1-B6)/D6)</f>
        <v>2.0230604137049392E-2</v>
      </c>
      <c r="F6" s="1">
        <f>E6*E6</f>
        <v>4.0927734374999997E-4</v>
      </c>
    </row>
    <row r="7" spans="1:10" s="11" customFormat="1" ht="23.25" x14ac:dyDescent="0.35">
      <c r="A7" s="8" t="s">
        <v>11</v>
      </c>
      <c r="B7" s="9">
        <v>0.53</v>
      </c>
      <c r="C7" s="10"/>
      <c r="D7" s="10">
        <f>D4</f>
        <v>82.5</v>
      </c>
      <c r="E7" s="10">
        <f>SQRT(B7*(1-B7)/D7)</f>
        <v>5.4949012178509081E-2</v>
      </c>
      <c r="F7" s="10">
        <f t="shared" ref="F7:F8" si="1">E7*E7</f>
        <v>3.0193939393939394E-3</v>
      </c>
    </row>
    <row r="8" spans="1:10" ht="23.25" x14ac:dyDescent="0.35">
      <c r="A8" s="6" t="s">
        <v>12</v>
      </c>
      <c r="B8" s="1">
        <f>B6*B7</f>
        <v>0.10931249999999999</v>
      </c>
      <c r="D8" s="1">
        <f>D3</f>
        <v>400</v>
      </c>
      <c r="E8" s="1">
        <f>SQRT(B8*(1-B8)/D8)</f>
        <v>1.5601544582488459E-2</v>
      </c>
      <c r="F8" s="1">
        <f t="shared" si="1"/>
        <v>2.4340819335937498E-4</v>
      </c>
    </row>
    <row r="10" spans="1:10" ht="15.75" customHeight="1" x14ac:dyDescent="0.35">
      <c r="A10" s="1" t="s">
        <v>64</v>
      </c>
      <c r="B10" s="1" t="s">
        <v>16</v>
      </c>
      <c r="C10" s="1" t="s">
        <v>13</v>
      </c>
      <c r="D10" s="1" t="s">
        <v>4</v>
      </c>
      <c r="E10" s="1" t="s">
        <v>20</v>
      </c>
      <c r="F10" s="1" t="s">
        <v>6</v>
      </c>
      <c r="G10" s="1" t="s">
        <v>7</v>
      </c>
      <c r="H10" s="1" t="s">
        <v>8</v>
      </c>
    </row>
    <row r="11" spans="1:10" ht="23.25" x14ac:dyDescent="0.35">
      <c r="A11" s="5" t="s">
        <v>1</v>
      </c>
      <c r="B11" s="1" t="s">
        <v>17</v>
      </c>
      <c r="C11" s="1">
        <f>54690</f>
        <v>54690</v>
      </c>
      <c r="D11" s="1">
        <v>0.5</v>
      </c>
      <c r="E11" s="1">
        <f>SQRT(D11*(1-D11)/C11)</f>
        <v>2.1380410663478029E-3</v>
      </c>
      <c r="F11" s="1">
        <f>1.96*E11</f>
        <v>4.1905604900416933E-3</v>
      </c>
      <c r="G11" s="15">
        <f>D11-F11</f>
        <v>0.49580943950995832</v>
      </c>
      <c r="H11" s="15">
        <f>D11+F11</f>
        <v>0.50419056049004174</v>
      </c>
    </row>
    <row r="12" spans="1:10" ht="23.25" x14ac:dyDescent="0.35">
      <c r="A12" s="4" t="s">
        <v>3</v>
      </c>
      <c r="B12" s="1" t="s">
        <v>17</v>
      </c>
      <c r="C12" s="1">
        <f>54690/2</f>
        <v>27345</v>
      </c>
      <c r="D12" s="1">
        <v>0.08</v>
      </c>
      <c r="E12" s="1">
        <f>SQRT(D12*(1-D12)/C12)</f>
        <v>1.6405895590604696E-3</v>
      </c>
      <c r="F12" s="1">
        <f>1.96*E12</f>
        <v>3.2155555357585202E-3</v>
      </c>
      <c r="G12" s="15">
        <f>D12-F12</f>
        <v>7.6784444464241486E-2</v>
      </c>
      <c r="H12" s="15">
        <f>D12+F12</f>
        <v>8.3215555535758517E-2</v>
      </c>
    </row>
    <row r="13" spans="1:10" ht="12.75" x14ac:dyDescent="0.35">
      <c r="A13" s="4" t="s">
        <v>18</v>
      </c>
      <c r="B13" s="1" t="s">
        <v>17</v>
      </c>
      <c r="C13" s="1">
        <f>C11*D12</f>
        <v>4375.2</v>
      </c>
      <c r="D13" s="1">
        <v>0.5</v>
      </c>
      <c r="E13" s="1">
        <f>SQRT(D13*(1-D13)/C13)</f>
        <v>7.5591166823492434E-3</v>
      </c>
      <c r="F13" s="1">
        <f>1.96*E13</f>
        <v>1.4815868697404517E-2</v>
      </c>
      <c r="G13" s="15">
        <f>D13-F13</f>
        <v>0.48518413130259547</v>
      </c>
      <c r="H13" s="15">
        <f>D13+F13</f>
        <v>0.51481586869740448</v>
      </c>
    </row>
    <row r="14" spans="1:10" ht="23.25" x14ac:dyDescent="0.35">
      <c r="A14" s="6" t="s">
        <v>10</v>
      </c>
      <c r="B14" s="1" t="s">
        <v>19</v>
      </c>
    </row>
    <row r="15" spans="1:10" ht="23.25" x14ac:dyDescent="0.35">
      <c r="A15" s="8" t="s">
        <v>11</v>
      </c>
    </row>
    <row r="16" spans="1:10" ht="23.25" x14ac:dyDescent="0.35">
      <c r="A16" s="6" t="s">
        <v>12</v>
      </c>
      <c r="B16" s="1" t="s">
        <v>19</v>
      </c>
    </row>
    <row r="17" spans="1:9" ht="15.75" customHeight="1" x14ac:dyDescent="0.35">
      <c r="C17" s="1" t="s">
        <v>13</v>
      </c>
      <c r="D17" s="1" t="s">
        <v>4</v>
      </c>
    </row>
    <row r="18" spans="1:9" ht="15.75" customHeight="1" x14ac:dyDescent="0.35">
      <c r="A18" s="1" t="s">
        <v>69</v>
      </c>
      <c r="C18" s="1">
        <f>control!B39+experiment!C39</f>
        <v>690203</v>
      </c>
      <c r="D18" s="1">
        <v>0.5</v>
      </c>
      <c r="E18" s="1">
        <f>SQRT(D18*(1-D18)/C18)</f>
        <v>6.0184074029432473E-4</v>
      </c>
      <c r="F18" s="1">
        <f>1.96*E18</f>
        <v>1.1796078509768765E-3</v>
      </c>
      <c r="G18" s="15">
        <f>D18-F18</f>
        <v>0.49882039214902313</v>
      </c>
      <c r="H18" s="15">
        <f>D18+F18</f>
        <v>0.50117960785097693</v>
      </c>
    </row>
    <row r="19" spans="1:9" ht="23.25" x14ac:dyDescent="0.35">
      <c r="A19" s="5" t="s">
        <v>1</v>
      </c>
      <c r="C19" s="1">
        <f>control!C39+experiment!D39</f>
        <v>56703</v>
      </c>
      <c r="D19" s="1">
        <v>0.5</v>
      </c>
      <c r="E19" s="1">
        <f>SQRT(D19*(1-D19)/C19)</f>
        <v>2.0997470796992519E-3</v>
      </c>
      <c r="F19" s="1">
        <f>1.96*E19</f>
        <v>4.1155042762105335E-3</v>
      </c>
      <c r="G19" s="15">
        <f>D19-F19</f>
        <v>0.49588449572378945</v>
      </c>
      <c r="H19" s="15">
        <f>D19+F19</f>
        <v>0.50411550427621055</v>
      </c>
    </row>
    <row r="20" spans="1:9" ht="15.75" customHeight="1" x14ac:dyDescent="0.35">
      <c r="A20" s="1" t="s">
        <v>65</v>
      </c>
      <c r="B20" s="1" t="s">
        <v>66</v>
      </c>
      <c r="C20" s="1">
        <f>control!B39</f>
        <v>345543</v>
      </c>
      <c r="D20" s="16">
        <f>(control!C39)/C20</f>
        <v>8.2125813574576823E-2</v>
      </c>
      <c r="E20" s="1">
        <f>SQRT(D20*(1-D20)/C20)</f>
        <v>4.6706827655464432E-4</v>
      </c>
      <c r="F20" s="1">
        <f>1.96*E20</f>
        <v>9.154538220471028E-4</v>
      </c>
      <c r="G20" s="15">
        <f>D20-F20</f>
        <v>8.1210359752529715E-2</v>
      </c>
      <c r="H20" s="15">
        <f>D20+F20</f>
        <v>8.304126739662393E-2</v>
      </c>
    </row>
    <row r="21" spans="1:9" ht="15.75" customHeight="1" x14ac:dyDescent="0.35">
      <c r="B21" s="1" t="s">
        <v>67</v>
      </c>
      <c r="C21" s="1">
        <f>control!B39+experiment!C39</f>
        <v>690203</v>
      </c>
      <c r="D21" s="1">
        <f>(control!C39+experiment!D39)/baseline!C21</f>
        <v>8.2154090897895257E-2</v>
      </c>
      <c r="E21" s="1">
        <f>SQRT(D21*(1-D21)*(1/control!B39+1/experiment!C39))</f>
        <v>6.6106081563872224E-4</v>
      </c>
      <c r="F21" s="1">
        <f>E21*1.96</f>
        <v>1.2956791986518956E-3</v>
      </c>
      <c r="G21">
        <f>0-F21</f>
        <v>-1.2956791986518956E-3</v>
      </c>
      <c r="H21">
        <f>F21</f>
        <v>1.2956791986518956E-3</v>
      </c>
    </row>
    <row r="22" spans="1:9" ht="15.75" customHeight="1" x14ac:dyDescent="0.35">
      <c r="C22" s="1" t="s">
        <v>68</v>
      </c>
      <c r="D22" s="1">
        <f>experiment!C41-control!B42</f>
        <v>5.6627091586936018E-5</v>
      </c>
    </row>
    <row r="24" spans="1:9" ht="12.75" x14ac:dyDescent="0.35">
      <c r="C24" s="1" t="s">
        <v>73</v>
      </c>
      <c r="D24" s="1" t="s">
        <v>4</v>
      </c>
      <c r="E24" s="1" t="s">
        <v>68</v>
      </c>
      <c r="F24" s="1" t="s">
        <v>20</v>
      </c>
      <c r="G24" s="1" t="s">
        <v>6</v>
      </c>
      <c r="H24" s="1" t="s">
        <v>7</v>
      </c>
      <c r="I24" s="1" t="s">
        <v>8</v>
      </c>
    </row>
    <row r="25" spans="1:9" ht="23.25" x14ac:dyDescent="0.35">
      <c r="A25" s="6" t="s">
        <v>10</v>
      </c>
      <c r="B25" s="1" t="s">
        <v>70</v>
      </c>
      <c r="C25" s="1">
        <f>C26+C27</f>
        <v>34553</v>
      </c>
      <c r="D25" s="17">
        <f>(experiment!E39+control!D39)/baseline!C25</f>
        <v>0.20860706740369866</v>
      </c>
      <c r="E25" s="17"/>
      <c r="F25" s="17">
        <f>SQRT(D25*(1-D25)*(1/C26+1/C27))</f>
        <v>4.3716753852259364E-3</v>
      </c>
      <c r="G25" s="15">
        <f>1.96*F25</f>
        <v>8.5684837550428355E-3</v>
      </c>
      <c r="H25" s="15">
        <f>E26-G25</f>
        <v>-2.9123358335404401E-2</v>
      </c>
      <c r="I25" s="15">
        <f>E26+G25</f>
        <v>-1.198639082531873E-2</v>
      </c>
    </row>
    <row r="26" spans="1:9" ht="15.75" customHeight="1" x14ac:dyDescent="0.35">
      <c r="B26" s="1" t="s">
        <v>71</v>
      </c>
      <c r="C26" s="1">
        <f>SUM(experiment!D2:D24)</f>
        <v>17260</v>
      </c>
      <c r="D26" s="17">
        <f>experiment!E39/C26</f>
        <v>0.19831981460023174</v>
      </c>
      <c r="E26" s="17">
        <f>D26-D27</f>
        <v>-2.0554874580361565E-2</v>
      </c>
      <c r="F26" s="17"/>
      <c r="G26" s="15"/>
      <c r="H26" s="15"/>
      <c r="I26" s="15"/>
    </row>
    <row r="27" spans="1:9" ht="15.75" customHeight="1" x14ac:dyDescent="0.35">
      <c r="B27" s="1" t="s">
        <v>72</v>
      </c>
      <c r="C27" s="1">
        <f>SUM(control!C2:C24)</f>
        <v>17293</v>
      </c>
      <c r="D27" s="17">
        <f>control!D39/C27</f>
        <v>0.2188746891805933</v>
      </c>
      <c r="E27" s="17"/>
      <c r="F27" s="17"/>
      <c r="G27" s="15"/>
      <c r="H27" s="15"/>
      <c r="I27" s="15"/>
    </row>
    <row r="29" spans="1:9" ht="23.25" x14ac:dyDescent="0.35">
      <c r="A29" s="6" t="s">
        <v>12</v>
      </c>
      <c r="B29" s="1" t="s">
        <v>70</v>
      </c>
      <c r="C29" s="1">
        <f>C30+C31</f>
        <v>34553</v>
      </c>
      <c r="D29" s="17">
        <f>(experiment!F39+control!E39)/baseline!C29</f>
        <v>0.11512748531241861</v>
      </c>
      <c r="E29" s="17"/>
      <c r="F29" s="17">
        <f>SQRT(D29*(1-D29)*(1/C30+1/C31))</f>
        <v>3.4341335129324238E-3</v>
      </c>
      <c r="G29" s="15">
        <f>1.96*F29</f>
        <v>6.7309016853475505E-3</v>
      </c>
      <c r="H29" s="15">
        <f>E30-G29</f>
        <v>-1.1604624359891718E-2</v>
      </c>
      <c r="I29" s="15">
        <f>E30+G29</f>
        <v>1.857179010803383E-3</v>
      </c>
    </row>
    <row r="30" spans="1:9" ht="15.75" customHeight="1" x14ac:dyDescent="0.35">
      <c r="B30" s="1" t="s">
        <v>71</v>
      </c>
      <c r="C30" s="1">
        <f>SUM(experiment!D2:D24)</f>
        <v>17260</v>
      </c>
      <c r="D30" s="17">
        <f>experiment!F39/baseline!C30</f>
        <v>0.1126882966396292</v>
      </c>
      <c r="E30" s="17">
        <f>D30-D31</f>
        <v>-4.8737226745441675E-3</v>
      </c>
      <c r="F30" s="17"/>
      <c r="G30" s="15"/>
      <c r="H30" s="15"/>
      <c r="I30" s="15"/>
    </row>
    <row r="31" spans="1:9" ht="15.75" customHeight="1" x14ac:dyDescent="0.35">
      <c r="B31" s="1" t="s">
        <v>72</v>
      </c>
      <c r="C31" s="1">
        <f>SUM(control!C2:C24)</f>
        <v>17293</v>
      </c>
      <c r="D31" s="17">
        <f>control!E39/baseline!C31</f>
        <v>0.11756201931417337</v>
      </c>
      <c r="E31" s="17"/>
      <c r="F31" s="17"/>
      <c r="G31" s="15"/>
      <c r="H31" s="15"/>
      <c r="I31" s="15"/>
    </row>
    <row r="32" spans="1:9" ht="15.75" customHeight="1" thickBot="1" x14ac:dyDescent="0.4"/>
    <row r="33" spans="2:4" ht="15.75" customHeight="1" x14ac:dyDescent="0.35">
      <c r="B33" s="18">
        <v>25710</v>
      </c>
      <c r="C33">
        <f>B33/0.08*2</f>
        <v>642750</v>
      </c>
    </row>
    <row r="34" spans="2:4" ht="15.75" customHeight="1" thickBot="1" x14ac:dyDescent="0.4">
      <c r="B34" s="19">
        <v>27210</v>
      </c>
      <c r="C34">
        <f>B34/0.08*2</f>
        <v>680250</v>
      </c>
      <c r="D34" s="1">
        <f>C34/40000</f>
        <v>17.006250000000001</v>
      </c>
    </row>
    <row r="35" spans="2:4" ht="13.15" thickBot="1" x14ac:dyDescent="0.4">
      <c r="B35" s="22"/>
      <c r="C35" s="23"/>
    </row>
    <row r="36" spans="2:4" ht="15.75" customHeight="1" x14ac:dyDescent="0.35">
      <c r="B36" s="20">
        <v>31100</v>
      </c>
      <c r="C36">
        <f>B36/0.08*2</f>
        <v>777500</v>
      </c>
    </row>
    <row r="37" spans="2:4" ht="15.75" customHeight="1" thickBot="1" x14ac:dyDescent="0.4">
      <c r="B37" s="21">
        <v>32910</v>
      </c>
      <c r="C37">
        <f>B37/0.08*2</f>
        <v>822750</v>
      </c>
    </row>
  </sheetData>
  <mergeCells count="1">
    <mergeCell ref="B35:C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pane ySplit="1" topLeftCell="A23" activePane="bottomLeft" state="frozen"/>
      <selection pane="bottomLeft" sqref="A1:G24"/>
    </sheetView>
  </sheetViews>
  <sheetFormatPr defaultRowHeight="12.75" x14ac:dyDescent="0.35"/>
  <cols>
    <col min="1" max="1" width="12.73046875" customWidth="1"/>
    <col min="2" max="5" width="10.6640625" customWidth="1"/>
  </cols>
  <sheetData>
    <row r="1" spans="1:7" x14ac:dyDescent="0.35">
      <c r="A1" s="12" t="s">
        <v>21</v>
      </c>
      <c r="B1" s="12" t="s">
        <v>22</v>
      </c>
      <c r="C1" s="12" t="s">
        <v>18</v>
      </c>
      <c r="D1" s="12" t="s">
        <v>23</v>
      </c>
      <c r="E1" s="12" t="s">
        <v>24</v>
      </c>
      <c r="F1" s="12" t="s">
        <v>74</v>
      </c>
      <c r="G1" s="12" t="s">
        <v>75</v>
      </c>
    </row>
    <row r="2" spans="1:7" x14ac:dyDescent="0.35">
      <c r="A2" s="12" t="s">
        <v>25</v>
      </c>
      <c r="B2" s="13">
        <v>7723</v>
      </c>
      <c r="C2" s="13">
        <v>687</v>
      </c>
      <c r="D2" s="13">
        <v>134</v>
      </c>
      <c r="E2" s="13">
        <v>70</v>
      </c>
      <c r="F2">
        <f>D2/C2</f>
        <v>0.1950509461426492</v>
      </c>
      <c r="G2">
        <f>E2/C2</f>
        <v>0.10189228529839883</v>
      </c>
    </row>
    <row r="3" spans="1:7" x14ac:dyDescent="0.35">
      <c r="A3" s="12" t="s">
        <v>26</v>
      </c>
      <c r="B3" s="13">
        <v>9102</v>
      </c>
      <c r="C3" s="13">
        <v>779</v>
      </c>
      <c r="D3" s="13">
        <v>147</v>
      </c>
      <c r="E3" s="13">
        <v>70</v>
      </c>
      <c r="F3">
        <f t="shared" ref="F3:F24" si="0">D3/C3</f>
        <v>0.18870346598202825</v>
      </c>
      <c r="G3">
        <f t="shared" ref="G3:G24" si="1">E3/C3</f>
        <v>8.9858793324775352E-2</v>
      </c>
    </row>
    <row r="4" spans="1:7" x14ac:dyDescent="0.35">
      <c r="A4" s="12" t="s">
        <v>27</v>
      </c>
      <c r="B4" s="13">
        <v>10511</v>
      </c>
      <c r="C4" s="13">
        <v>909</v>
      </c>
      <c r="D4" s="13">
        <v>167</v>
      </c>
      <c r="E4" s="13">
        <v>95</v>
      </c>
      <c r="F4">
        <f t="shared" si="0"/>
        <v>0.18371837183718373</v>
      </c>
      <c r="G4">
        <f t="shared" si="1"/>
        <v>0.10451045104510451</v>
      </c>
    </row>
    <row r="5" spans="1:7" x14ac:dyDescent="0.35">
      <c r="A5" s="12" t="s">
        <v>28</v>
      </c>
      <c r="B5" s="13">
        <v>9871</v>
      </c>
      <c r="C5" s="13">
        <v>836</v>
      </c>
      <c r="D5" s="13">
        <v>156</v>
      </c>
      <c r="E5" s="13">
        <v>105</v>
      </c>
      <c r="F5">
        <f t="shared" si="0"/>
        <v>0.18660287081339713</v>
      </c>
      <c r="G5">
        <f t="shared" si="1"/>
        <v>0.1255980861244019</v>
      </c>
    </row>
    <row r="6" spans="1:7" x14ac:dyDescent="0.35">
      <c r="A6" s="12" t="s">
        <v>29</v>
      </c>
      <c r="B6" s="13">
        <v>10014</v>
      </c>
      <c r="C6" s="13">
        <v>837</v>
      </c>
      <c r="D6" s="13">
        <v>163</v>
      </c>
      <c r="E6" s="13">
        <v>64</v>
      </c>
      <c r="F6">
        <f t="shared" si="0"/>
        <v>0.19474313022700118</v>
      </c>
      <c r="G6">
        <f t="shared" si="1"/>
        <v>7.6463560334528072E-2</v>
      </c>
    </row>
    <row r="7" spans="1:7" x14ac:dyDescent="0.35">
      <c r="A7" s="12" t="s">
        <v>30</v>
      </c>
      <c r="B7" s="13">
        <v>9670</v>
      </c>
      <c r="C7" s="13">
        <v>823</v>
      </c>
      <c r="D7" s="13">
        <v>138</v>
      </c>
      <c r="E7" s="13">
        <v>82</v>
      </c>
      <c r="F7">
        <f t="shared" si="0"/>
        <v>0.16767922235722965</v>
      </c>
      <c r="G7">
        <f t="shared" si="1"/>
        <v>9.9635479951397321E-2</v>
      </c>
    </row>
    <row r="8" spans="1:7" x14ac:dyDescent="0.35">
      <c r="A8" s="12" t="s">
        <v>31</v>
      </c>
      <c r="B8" s="13">
        <v>9008</v>
      </c>
      <c r="C8" s="13">
        <v>748</v>
      </c>
      <c r="D8" s="13">
        <v>146</v>
      </c>
      <c r="E8" s="13">
        <v>76</v>
      </c>
      <c r="F8">
        <f t="shared" si="0"/>
        <v>0.19518716577540107</v>
      </c>
      <c r="G8">
        <f t="shared" si="1"/>
        <v>0.10160427807486631</v>
      </c>
    </row>
    <row r="9" spans="1:7" x14ac:dyDescent="0.35">
      <c r="A9" s="12" t="s">
        <v>32</v>
      </c>
      <c r="B9" s="13">
        <v>7434</v>
      </c>
      <c r="C9" s="13">
        <v>632</v>
      </c>
      <c r="D9" s="13">
        <v>110</v>
      </c>
      <c r="E9" s="13">
        <v>70</v>
      </c>
      <c r="F9">
        <f t="shared" si="0"/>
        <v>0.17405063291139242</v>
      </c>
      <c r="G9">
        <f t="shared" si="1"/>
        <v>0.11075949367088607</v>
      </c>
    </row>
    <row r="10" spans="1:7" x14ac:dyDescent="0.35">
      <c r="A10" s="12" t="s">
        <v>33</v>
      </c>
      <c r="B10" s="13">
        <v>8459</v>
      </c>
      <c r="C10" s="13">
        <v>691</v>
      </c>
      <c r="D10" s="13">
        <v>131</v>
      </c>
      <c r="E10" s="13">
        <v>60</v>
      </c>
      <c r="F10">
        <f t="shared" si="0"/>
        <v>0.18958031837916064</v>
      </c>
      <c r="G10">
        <f t="shared" si="1"/>
        <v>8.6830680173661356E-2</v>
      </c>
    </row>
    <row r="11" spans="1:7" x14ac:dyDescent="0.35">
      <c r="A11" s="12" t="s">
        <v>34</v>
      </c>
      <c r="B11" s="13">
        <v>10667</v>
      </c>
      <c r="C11" s="13">
        <v>861</v>
      </c>
      <c r="D11" s="13">
        <v>165</v>
      </c>
      <c r="E11" s="13">
        <v>97</v>
      </c>
      <c r="F11">
        <f t="shared" si="0"/>
        <v>0.19163763066202091</v>
      </c>
      <c r="G11">
        <f t="shared" si="1"/>
        <v>0.11265969802555169</v>
      </c>
    </row>
    <row r="12" spans="1:7" x14ac:dyDescent="0.35">
      <c r="A12" s="12" t="s">
        <v>35</v>
      </c>
      <c r="B12" s="13">
        <v>10660</v>
      </c>
      <c r="C12" s="13">
        <v>867</v>
      </c>
      <c r="D12" s="13">
        <v>196</v>
      </c>
      <c r="E12" s="13">
        <v>105</v>
      </c>
      <c r="F12">
        <f t="shared" si="0"/>
        <v>0.22606689734717417</v>
      </c>
      <c r="G12">
        <f t="shared" si="1"/>
        <v>0.12110726643598616</v>
      </c>
    </row>
    <row r="13" spans="1:7" x14ac:dyDescent="0.35">
      <c r="A13" s="12" t="s">
        <v>36</v>
      </c>
      <c r="B13" s="13">
        <v>9947</v>
      </c>
      <c r="C13" s="13">
        <v>838</v>
      </c>
      <c r="D13" s="13">
        <v>162</v>
      </c>
      <c r="E13" s="13">
        <v>92</v>
      </c>
      <c r="F13">
        <f t="shared" si="0"/>
        <v>0.19331742243436753</v>
      </c>
      <c r="G13">
        <f t="shared" si="1"/>
        <v>0.10978520286396182</v>
      </c>
    </row>
    <row r="14" spans="1:7" x14ac:dyDescent="0.35">
      <c r="A14" s="12" t="s">
        <v>37</v>
      </c>
      <c r="B14" s="13">
        <v>8324</v>
      </c>
      <c r="C14" s="13">
        <v>665</v>
      </c>
      <c r="D14" s="13">
        <v>127</v>
      </c>
      <c r="E14" s="13">
        <v>56</v>
      </c>
      <c r="F14">
        <f t="shared" si="0"/>
        <v>0.19097744360902255</v>
      </c>
      <c r="G14">
        <f t="shared" si="1"/>
        <v>8.4210526315789472E-2</v>
      </c>
    </row>
    <row r="15" spans="1:7" x14ac:dyDescent="0.35">
      <c r="A15" s="12" t="s">
        <v>38</v>
      </c>
      <c r="B15" s="13">
        <v>9434</v>
      </c>
      <c r="C15" s="13">
        <v>673</v>
      </c>
      <c r="D15" s="13">
        <v>220</v>
      </c>
      <c r="E15" s="13">
        <v>122</v>
      </c>
      <c r="F15">
        <f t="shared" si="0"/>
        <v>0.32689450222882616</v>
      </c>
      <c r="G15">
        <f t="shared" si="1"/>
        <v>0.1812778603268945</v>
      </c>
    </row>
    <row r="16" spans="1:7" x14ac:dyDescent="0.35">
      <c r="A16" s="12" t="s">
        <v>39</v>
      </c>
      <c r="B16" s="13">
        <v>8687</v>
      </c>
      <c r="C16" s="13">
        <v>691</v>
      </c>
      <c r="D16" s="13">
        <v>176</v>
      </c>
      <c r="E16" s="13">
        <v>128</v>
      </c>
      <c r="F16">
        <f t="shared" si="0"/>
        <v>0.25470332850940663</v>
      </c>
      <c r="G16">
        <f t="shared" si="1"/>
        <v>0.18523878437047755</v>
      </c>
    </row>
    <row r="17" spans="1:7" x14ac:dyDescent="0.35">
      <c r="A17" s="12" t="s">
        <v>40</v>
      </c>
      <c r="B17" s="13">
        <v>8896</v>
      </c>
      <c r="C17" s="13">
        <v>708</v>
      </c>
      <c r="D17" s="13">
        <v>161</v>
      </c>
      <c r="E17" s="13">
        <v>104</v>
      </c>
      <c r="F17">
        <f t="shared" si="0"/>
        <v>0.22740112994350281</v>
      </c>
      <c r="G17">
        <f t="shared" si="1"/>
        <v>0.14689265536723164</v>
      </c>
    </row>
    <row r="18" spans="1:7" x14ac:dyDescent="0.35">
      <c r="A18" s="12" t="s">
        <v>41</v>
      </c>
      <c r="B18" s="13">
        <v>9535</v>
      </c>
      <c r="C18" s="13">
        <v>759</v>
      </c>
      <c r="D18" s="13">
        <v>233</v>
      </c>
      <c r="E18" s="13">
        <v>124</v>
      </c>
      <c r="F18">
        <f t="shared" si="0"/>
        <v>0.30698287220026349</v>
      </c>
      <c r="G18">
        <f t="shared" si="1"/>
        <v>0.16337285902503293</v>
      </c>
    </row>
    <row r="19" spans="1:7" x14ac:dyDescent="0.35">
      <c r="A19" s="12" t="s">
        <v>42</v>
      </c>
      <c r="B19" s="13">
        <v>9363</v>
      </c>
      <c r="C19" s="13">
        <v>736</v>
      </c>
      <c r="D19" s="13">
        <v>154</v>
      </c>
      <c r="E19" s="13">
        <v>91</v>
      </c>
      <c r="F19">
        <f t="shared" si="0"/>
        <v>0.20923913043478262</v>
      </c>
      <c r="G19">
        <f t="shared" si="1"/>
        <v>0.12364130434782608</v>
      </c>
    </row>
    <row r="20" spans="1:7" x14ac:dyDescent="0.35">
      <c r="A20" s="12" t="s">
        <v>43</v>
      </c>
      <c r="B20" s="13">
        <v>9327</v>
      </c>
      <c r="C20" s="13">
        <v>739</v>
      </c>
      <c r="D20" s="13">
        <v>196</v>
      </c>
      <c r="E20" s="13">
        <v>86</v>
      </c>
      <c r="F20">
        <f t="shared" si="0"/>
        <v>0.26522327469553453</v>
      </c>
      <c r="G20">
        <f t="shared" si="1"/>
        <v>0.11637347767253045</v>
      </c>
    </row>
    <row r="21" spans="1:7" x14ac:dyDescent="0.35">
      <c r="A21" s="12" t="s">
        <v>44</v>
      </c>
      <c r="B21" s="13">
        <v>9345</v>
      </c>
      <c r="C21" s="13">
        <v>734</v>
      </c>
      <c r="D21" s="13">
        <v>167</v>
      </c>
      <c r="E21" s="13">
        <v>75</v>
      </c>
      <c r="F21">
        <f t="shared" si="0"/>
        <v>0.22752043596730245</v>
      </c>
      <c r="G21">
        <f t="shared" si="1"/>
        <v>0.10217983651226158</v>
      </c>
    </row>
    <row r="22" spans="1:7" x14ac:dyDescent="0.35">
      <c r="A22" s="12" t="s">
        <v>45</v>
      </c>
      <c r="B22" s="13">
        <v>8890</v>
      </c>
      <c r="C22" s="13">
        <v>706</v>
      </c>
      <c r="D22" s="13">
        <v>174</v>
      </c>
      <c r="E22" s="13">
        <v>101</v>
      </c>
      <c r="F22">
        <f t="shared" si="0"/>
        <v>0.24645892351274787</v>
      </c>
      <c r="G22">
        <f t="shared" si="1"/>
        <v>0.14305949008498584</v>
      </c>
    </row>
    <row r="23" spans="1:7" x14ac:dyDescent="0.35">
      <c r="A23" s="12" t="s">
        <v>46</v>
      </c>
      <c r="B23" s="13">
        <v>8460</v>
      </c>
      <c r="C23" s="13">
        <v>681</v>
      </c>
      <c r="D23" s="13">
        <v>156</v>
      </c>
      <c r="E23" s="13">
        <v>93</v>
      </c>
      <c r="F23">
        <f t="shared" si="0"/>
        <v>0.22907488986784141</v>
      </c>
      <c r="G23">
        <f t="shared" si="1"/>
        <v>0.13656387665198239</v>
      </c>
    </row>
    <row r="24" spans="1:7" x14ac:dyDescent="0.35">
      <c r="A24" s="12" t="s">
        <v>47</v>
      </c>
      <c r="B24" s="13">
        <v>8836</v>
      </c>
      <c r="C24" s="13">
        <v>693</v>
      </c>
      <c r="D24" s="13">
        <v>206</v>
      </c>
      <c r="E24" s="13">
        <v>67</v>
      </c>
      <c r="F24">
        <f t="shared" si="0"/>
        <v>0.29725829725829728</v>
      </c>
      <c r="G24">
        <f t="shared" si="1"/>
        <v>9.6681096681096687E-2</v>
      </c>
    </row>
    <row r="25" spans="1:7" x14ac:dyDescent="0.35">
      <c r="A25" s="12" t="s">
        <v>48</v>
      </c>
      <c r="B25" s="13">
        <v>9437</v>
      </c>
      <c r="C25" s="13">
        <v>788</v>
      </c>
      <c r="D25" s="14"/>
      <c r="E25" s="14"/>
    </row>
    <row r="26" spans="1:7" x14ac:dyDescent="0.35">
      <c r="A26" s="12" t="s">
        <v>49</v>
      </c>
      <c r="B26" s="13">
        <v>9420</v>
      </c>
      <c r="C26" s="13">
        <v>781</v>
      </c>
      <c r="D26" s="14"/>
      <c r="E26" s="14"/>
    </row>
    <row r="27" spans="1:7" x14ac:dyDescent="0.35">
      <c r="A27" s="12" t="s">
        <v>50</v>
      </c>
      <c r="B27" s="13">
        <v>9570</v>
      </c>
      <c r="C27" s="13">
        <v>805</v>
      </c>
      <c r="D27" s="14"/>
      <c r="E27" s="14"/>
    </row>
    <row r="28" spans="1:7" x14ac:dyDescent="0.35">
      <c r="A28" s="12" t="s">
        <v>51</v>
      </c>
      <c r="B28" s="13">
        <v>9921</v>
      </c>
      <c r="C28" s="13">
        <v>830</v>
      </c>
      <c r="D28" s="14"/>
      <c r="E28" s="14"/>
    </row>
    <row r="29" spans="1:7" x14ac:dyDescent="0.35">
      <c r="A29" s="12" t="s">
        <v>52</v>
      </c>
      <c r="B29" s="13">
        <v>9424</v>
      </c>
      <c r="C29" s="13">
        <v>781</v>
      </c>
      <c r="D29" s="14"/>
      <c r="E29" s="14"/>
    </row>
    <row r="30" spans="1:7" x14ac:dyDescent="0.35">
      <c r="A30" s="12" t="s">
        <v>53</v>
      </c>
      <c r="B30" s="13">
        <v>9010</v>
      </c>
      <c r="C30" s="13">
        <v>756</v>
      </c>
      <c r="D30" s="14"/>
      <c r="E30" s="14"/>
    </row>
    <row r="31" spans="1:7" x14ac:dyDescent="0.35">
      <c r="A31" s="12" t="s">
        <v>54</v>
      </c>
      <c r="B31" s="13">
        <v>9656</v>
      </c>
      <c r="C31" s="13">
        <v>825</v>
      </c>
      <c r="D31" s="14"/>
      <c r="E31" s="14"/>
    </row>
    <row r="32" spans="1:7" x14ac:dyDescent="0.35">
      <c r="A32" s="12" t="s">
        <v>55</v>
      </c>
      <c r="B32" s="13">
        <v>10419</v>
      </c>
      <c r="C32" s="13">
        <v>874</v>
      </c>
      <c r="D32" s="14"/>
      <c r="E32" s="14"/>
    </row>
    <row r="33" spans="1:5" x14ac:dyDescent="0.35">
      <c r="A33" s="12" t="s">
        <v>56</v>
      </c>
      <c r="B33" s="13">
        <v>9880</v>
      </c>
      <c r="C33" s="13">
        <v>830</v>
      </c>
      <c r="D33" s="14"/>
      <c r="E33" s="14"/>
    </row>
    <row r="34" spans="1:5" x14ac:dyDescent="0.35">
      <c r="A34" s="12" t="s">
        <v>57</v>
      </c>
      <c r="B34" s="13">
        <v>10134</v>
      </c>
      <c r="C34" s="13">
        <v>801</v>
      </c>
      <c r="D34" s="14"/>
      <c r="E34" s="14"/>
    </row>
    <row r="35" spans="1:5" x14ac:dyDescent="0.35">
      <c r="A35" s="12" t="s">
        <v>58</v>
      </c>
      <c r="B35" s="13">
        <v>9717</v>
      </c>
      <c r="C35" s="13">
        <v>814</v>
      </c>
      <c r="D35" s="14"/>
      <c r="E35" s="14"/>
    </row>
    <row r="36" spans="1:5" x14ac:dyDescent="0.35">
      <c r="A36" s="12" t="s">
        <v>59</v>
      </c>
      <c r="B36" s="13">
        <v>9192</v>
      </c>
      <c r="C36" s="13">
        <v>735</v>
      </c>
      <c r="D36" s="14"/>
      <c r="E36" s="14"/>
    </row>
    <row r="37" spans="1:5" x14ac:dyDescent="0.35">
      <c r="A37" s="12" t="s">
        <v>60</v>
      </c>
      <c r="B37" s="13">
        <v>8630</v>
      </c>
      <c r="C37" s="13">
        <v>743</v>
      </c>
      <c r="D37" s="14"/>
      <c r="E37" s="14"/>
    </row>
    <row r="38" spans="1:5" x14ac:dyDescent="0.35">
      <c r="A38" s="12" t="s">
        <v>61</v>
      </c>
      <c r="B38" s="13">
        <v>8970</v>
      </c>
      <c r="C38" s="13">
        <v>722</v>
      </c>
      <c r="D38" s="14"/>
      <c r="E38" s="14"/>
    </row>
    <row r="39" spans="1:5" x14ac:dyDescent="0.35">
      <c r="B39">
        <f>SUM(B2:B38)</f>
        <v>345543</v>
      </c>
      <c r="C39">
        <f>SUM(C2:C38)</f>
        <v>28378</v>
      </c>
      <c r="D39">
        <f>SUM(D2:D38)</f>
        <v>3785</v>
      </c>
      <c r="E39">
        <f>SUM(E2:E38)</f>
        <v>2033</v>
      </c>
    </row>
    <row r="41" spans="1:5" x14ac:dyDescent="0.35">
      <c r="A41" s="12" t="s">
        <v>62</v>
      </c>
      <c r="B41" s="15">
        <f>B39/(B39+experiment!C39)</f>
        <v>0.50063966688061334</v>
      </c>
      <c r="C41" s="15">
        <f>C39/(C39+experiment!D39)</f>
        <v>0.50046734740666277</v>
      </c>
      <c r="D41">
        <f>D39/C39</f>
        <v>0.13337796884910846</v>
      </c>
    </row>
    <row r="42" spans="1:5" x14ac:dyDescent="0.35">
      <c r="A42" s="12" t="s">
        <v>63</v>
      </c>
      <c r="B42" s="15">
        <f>C39/B39</f>
        <v>8.2125813574576823E-2</v>
      </c>
      <c r="C42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sqref="A1:P2"/>
    </sheetView>
  </sheetViews>
  <sheetFormatPr defaultRowHeight="12.75" x14ac:dyDescent="0.35"/>
  <cols>
    <col min="3" max="3" width="16.73046875" customWidth="1"/>
    <col min="4" max="4" width="12.86328125" customWidth="1"/>
    <col min="5" max="5" width="18.19921875" customWidth="1"/>
    <col min="6" max="6" width="16.1328125" customWidth="1"/>
    <col min="7" max="7" width="14.59765625" customWidth="1"/>
    <col min="8" max="8" width="12.33203125" customWidth="1"/>
    <col min="9" max="9" width="16" customWidth="1"/>
    <col min="10" max="10" width="12.1328125" customWidth="1"/>
    <col min="11" max="11" width="17.46484375" customWidth="1"/>
    <col min="12" max="12" width="15.3984375" customWidth="1"/>
    <col min="13" max="13" width="13.86328125" customWidth="1"/>
    <col min="14" max="14" width="13.1328125" customWidth="1"/>
    <col min="15" max="15" width="9.73046875" customWidth="1"/>
  </cols>
  <sheetData>
    <row r="1" spans="1:16" x14ac:dyDescent="0.35">
      <c r="A1" t="s">
        <v>21</v>
      </c>
      <c r="B1" t="s">
        <v>78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76</v>
      </c>
      <c r="P1" t="s">
        <v>90</v>
      </c>
    </row>
    <row r="2" spans="1:16" x14ac:dyDescent="0.35">
      <c r="A2" t="s">
        <v>40</v>
      </c>
      <c r="B2" t="s">
        <v>80</v>
      </c>
      <c r="C2">
        <v>8896</v>
      </c>
      <c r="D2">
        <v>708</v>
      </c>
      <c r="E2">
        <v>161</v>
      </c>
      <c r="F2">
        <v>104</v>
      </c>
      <c r="G2">
        <v>0.22740112994350281</v>
      </c>
      <c r="H2">
        <v>0.14689265536723164</v>
      </c>
      <c r="I2">
        <v>8881</v>
      </c>
      <c r="J2">
        <v>693</v>
      </c>
      <c r="K2">
        <v>153</v>
      </c>
      <c r="L2">
        <v>101</v>
      </c>
      <c r="M2">
        <v>0.22077922077922077</v>
      </c>
      <c r="N2">
        <v>0.14574314574314573</v>
      </c>
      <c r="O2">
        <v>-6.6219091642820416E-3</v>
      </c>
      <c r="P2">
        <v>-1.1495096240859148E-3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workbookViewId="0">
      <selection activeCell="D20" sqref="D20"/>
    </sheetView>
  </sheetViews>
  <sheetFormatPr defaultRowHeight="12.75" x14ac:dyDescent="0.35"/>
  <cols>
    <col min="1" max="1" width="13.1328125" customWidth="1"/>
    <col min="2" max="2" width="17.265625" customWidth="1"/>
    <col min="3" max="3" width="19.3984375" customWidth="1"/>
    <col min="4" max="5" width="17.1328125" customWidth="1"/>
    <col min="6" max="20" width="4.73046875" customWidth="1"/>
    <col min="21" max="24" width="5.73046875" customWidth="1"/>
    <col min="25" max="25" width="11.1328125" bestFit="1" customWidth="1"/>
  </cols>
  <sheetData>
    <row r="3" spans="1:4" x14ac:dyDescent="0.35">
      <c r="A3" s="24" t="s">
        <v>79</v>
      </c>
      <c r="B3" t="s">
        <v>103</v>
      </c>
      <c r="C3" t="s">
        <v>104</v>
      </c>
      <c r="D3" t="s">
        <v>105</v>
      </c>
    </row>
    <row r="4" spans="1:4" x14ac:dyDescent="0.35">
      <c r="A4" s="25" t="s">
        <v>80</v>
      </c>
      <c r="B4" s="26">
        <v>2899</v>
      </c>
      <c r="C4" s="26">
        <v>-2.769592656711875E-2</v>
      </c>
      <c r="D4" s="26">
        <v>2.3478591748268565E-2</v>
      </c>
    </row>
    <row r="5" spans="1:4" x14ac:dyDescent="0.35">
      <c r="A5" s="25" t="s">
        <v>81</v>
      </c>
      <c r="B5" s="26">
        <v>2515</v>
      </c>
      <c r="C5" s="26">
        <v>-2.0227547329703083E-2</v>
      </c>
      <c r="D5" s="26">
        <v>-7.2567363710186461E-3</v>
      </c>
    </row>
    <row r="6" spans="1:4" x14ac:dyDescent="0.35">
      <c r="A6" s="25" t="s">
        <v>82</v>
      </c>
      <c r="B6" s="26">
        <v>2427</v>
      </c>
      <c r="C6" s="26">
        <v>-2.4932202350453653E-2</v>
      </c>
      <c r="D6" s="26">
        <v>-6.8063721428314322E-3</v>
      </c>
    </row>
    <row r="7" spans="1:4" x14ac:dyDescent="0.35">
      <c r="A7" s="25" t="s">
        <v>83</v>
      </c>
      <c r="B7" s="26">
        <v>2360</v>
      </c>
      <c r="C7" s="26">
        <v>-1.7095544352856928E-2</v>
      </c>
      <c r="D7" s="26">
        <v>9.9209414011486585E-3</v>
      </c>
    </row>
    <row r="8" spans="1:4" x14ac:dyDescent="0.35">
      <c r="A8" s="25" t="s">
        <v>84</v>
      </c>
      <c r="B8" s="26">
        <v>2158</v>
      </c>
      <c r="C8" s="26">
        <v>1.7814107638752769E-2</v>
      </c>
      <c r="D8" s="26">
        <v>-5.0347481458062476E-3</v>
      </c>
    </row>
    <row r="9" spans="1:4" x14ac:dyDescent="0.35">
      <c r="A9" s="25" t="s">
        <v>85</v>
      </c>
      <c r="B9" s="26">
        <v>2199</v>
      </c>
      <c r="C9" s="26">
        <v>-2.5138365881144847E-2</v>
      </c>
      <c r="D9" s="26">
        <v>-2.1883264030130384E-2</v>
      </c>
    </row>
    <row r="10" spans="1:4" x14ac:dyDescent="0.35">
      <c r="A10" s="25" t="s">
        <v>86</v>
      </c>
      <c r="B10" s="26">
        <v>2702</v>
      </c>
      <c r="C10" s="26">
        <v>-4.0841789433814668E-2</v>
      </c>
      <c r="D10" s="26">
        <v>-3.1634218951182236E-2</v>
      </c>
    </row>
    <row r="11" spans="1:4" x14ac:dyDescent="0.35">
      <c r="A11" s="25" t="s">
        <v>87</v>
      </c>
      <c r="B11" s="26">
        <v>17260</v>
      </c>
      <c r="C11" s="26">
        <v>-2.0554874580361565E-2</v>
      </c>
      <c r="D11" s="26">
        <v>-4.8737226745441675E-3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G1" sqref="A1:XFD24"/>
    </sheetView>
  </sheetViews>
  <sheetFormatPr defaultRowHeight="12.75" x14ac:dyDescent="0.35"/>
  <cols>
    <col min="1" max="2" width="14.46484375" customWidth="1"/>
  </cols>
  <sheetData>
    <row r="1" spans="1:16" ht="25.5" x14ac:dyDescent="0.35">
      <c r="A1" s="12" t="s">
        <v>21</v>
      </c>
      <c r="B1" s="12" t="s">
        <v>78</v>
      </c>
      <c r="C1" s="12" t="s">
        <v>91</v>
      </c>
      <c r="D1" s="12" t="s">
        <v>92</v>
      </c>
      <c r="E1" s="12" t="s">
        <v>93</v>
      </c>
      <c r="F1" s="12" t="s">
        <v>94</v>
      </c>
      <c r="G1" s="12" t="s">
        <v>95</v>
      </c>
      <c r="H1" s="12" t="s">
        <v>96</v>
      </c>
      <c r="I1" s="12" t="s">
        <v>97</v>
      </c>
      <c r="J1" s="12" t="s">
        <v>98</v>
      </c>
      <c r="K1" s="12" t="s">
        <v>99</v>
      </c>
      <c r="L1" s="12" t="s">
        <v>100</v>
      </c>
      <c r="M1" s="12" t="s">
        <v>101</v>
      </c>
      <c r="N1" s="12" t="s">
        <v>102</v>
      </c>
      <c r="O1" s="12" t="s">
        <v>76</v>
      </c>
      <c r="P1" s="12" t="s">
        <v>90</v>
      </c>
    </row>
    <row r="2" spans="1:16" x14ac:dyDescent="0.35">
      <c r="A2" s="12" t="s">
        <v>38</v>
      </c>
      <c r="B2" s="12" t="str">
        <f>LEFT(A2,3)</f>
        <v>Fri</v>
      </c>
      <c r="C2" s="13">
        <v>9434</v>
      </c>
      <c r="D2" s="13">
        <v>673</v>
      </c>
      <c r="E2" s="13">
        <v>220</v>
      </c>
      <c r="F2" s="13">
        <v>122</v>
      </c>
      <c r="G2">
        <f>E2/D2</f>
        <v>0.32689450222882616</v>
      </c>
      <c r="H2">
        <f>F2/D2</f>
        <v>0.1812778603268945</v>
      </c>
      <c r="I2" s="13">
        <v>9402</v>
      </c>
      <c r="J2" s="13">
        <v>697</v>
      </c>
      <c r="K2" s="13">
        <v>194</v>
      </c>
      <c r="L2" s="13">
        <v>94</v>
      </c>
      <c r="M2">
        <f>K2/J2</f>
        <v>0.27833572453371591</v>
      </c>
      <c r="N2">
        <f>L2/J2</f>
        <v>0.13486370157819225</v>
      </c>
      <c r="O2">
        <f>M2-G2</f>
        <v>-4.8558777695110245E-2</v>
      </c>
      <c r="P2">
        <f>N2-H2</f>
        <v>-4.641415874870225E-2</v>
      </c>
    </row>
    <row r="3" spans="1:16" x14ac:dyDescent="0.35">
      <c r="A3" s="12" t="s">
        <v>41</v>
      </c>
      <c r="B3" s="12" t="str">
        <f>LEFT(A3,3)</f>
        <v>Mon</v>
      </c>
      <c r="C3" s="13">
        <v>9535</v>
      </c>
      <c r="D3" s="13">
        <v>759</v>
      </c>
      <c r="E3" s="13">
        <v>233</v>
      </c>
      <c r="F3" s="13">
        <v>124</v>
      </c>
      <c r="G3">
        <f>E3/D3</f>
        <v>0.30698287220026349</v>
      </c>
      <c r="H3">
        <f>F3/D3</f>
        <v>0.16337285902503293</v>
      </c>
      <c r="I3" s="13">
        <v>9655</v>
      </c>
      <c r="J3" s="13">
        <v>771</v>
      </c>
      <c r="K3" s="13">
        <v>213</v>
      </c>
      <c r="L3" s="13">
        <v>119</v>
      </c>
      <c r="M3">
        <f>K3/J3</f>
        <v>0.27626459143968873</v>
      </c>
      <c r="N3">
        <f>L3/J3</f>
        <v>0.15434500648508431</v>
      </c>
      <c r="O3">
        <f>M3-G3</f>
        <v>-3.0718280760574757E-2</v>
      </c>
      <c r="P3">
        <f>N3-H3</f>
        <v>-9.0278525399486165E-3</v>
      </c>
    </row>
    <row r="4" spans="1:16" x14ac:dyDescent="0.35">
      <c r="A4" s="12" t="s">
        <v>47</v>
      </c>
      <c r="B4" s="12" t="str">
        <f>LEFT(A4,3)</f>
        <v>Sun</v>
      </c>
      <c r="C4" s="13">
        <v>8836</v>
      </c>
      <c r="D4" s="13">
        <v>693</v>
      </c>
      <c r="E4" s="13">
        <v>206</v>
      </c>
      <c r="F4" s="13">
        <v>67</v>
      </c>
      <c r="G4">
        <f>E4/D4</f>
        <v>0.29725829725829728</v>
      </c>
      <c r="H4">
        <f>F4/D4</f>
        <v>9.6681096681096687E-2</v>
      </c>
      <c r="I4" s="13">
        <v>8836</v>
      </c>
      <c r="J4" s="13">
        <v>724</v>
      </c>
      <c r="K4" s="13">
        <v>182</v>
      </c>
      <c r="L4" s="13">
        <v>103</v>
      </c>
      <c r="M4">
        <f>K4/J4</f>
        <v>0.25138121546961328</v>
      </c>
      <c r="N4">
        <f>L4/J4</f>
        <v>0.14226519337016574</v>
      </c>
      <c r="O4">
        <f>M4-G4</f>
        <v>-4.5877081788683993E-2</v>
      </c>
      <c r="P4">
        <f>N4-H4</f>
        <v>4.5584096689069056E-2</v>
      </c>
    </row>
    <row r="5" spans="1:16" x14ac:dyDescent="0.35">
      <c r="A5" s="12" t="s">
        <v>43</v>
      </c>
      <c r="B5" s="12" t="str">
        <f>LEFT(A5,3)</f>
        <v>Wed</v>
      </c>
      <c r="C5" s="13">
        <v>9327</v>
      </c>
      <c r="D5" s="13">
        <v>739</v>
      </c>
      <c r="E5" s="13">
        <v>196</v>
      </c>
      <c r="F5" s="13">
        <v>86</v>
      </c>
      <c r="G5">
        <f>E5/D5</f>
        <v>0.26522327469553453</v>
      </c>
      <c r="H5">
        <f>F5/D5</f>
        <v>0.11637347767253045</v>
      </c>
      <c r="I5" s="13">
        <v>9262</v>
      </c>
      <c r="J5" s="13">
        <v>727</v>
      </c>
      <c r="K5" s="13">
        <v>201</v>
      </c>
      <c r="L5" s="13">
        <v>96</v>
      </c>
      <c r="M5">
        <f>K5/J5</f>
        <v>0.27647867950481431</v>
      </c>
      <c r="N5">
        <f>L5/J5</f>
        <v>0.13204951856946354</v>
      </c>
      <c r="O5">
        <f>M5-G5</f>
        <v>1.1255404809279779E-2</v>
      </c>
      <c r="P5">
        <f>N5-H5</f>
        <v>1.5676040896933086E-2</v>
      </c>
    </row>
    <row r="6" spans="1:16" x14ac:dyDescent="0.35">
      <c r="A6" s="12" t="s">
        <v>39</v>
      </c>
      <c r="B6" s="12" t="str">
        <f>LEFT(A6,3)</f>
        <v>Sat</v>
      </c>
      <c r="C6" s="13">
        <v>8687</v>
      </c>
      <c r="D6" s="13">
        <v>691</v>
      </c>
      <c r="E6" s="13">
        <v>176</v>
      </c>
      <c r="F6" s="13">
        <v>128</v>
      </c>
      <c r="G6">
        <f>E6/D6</f>
        <v>0.25470332850940663</v>
      </c>
      <c r="H6">
        <f>F6/D6</f>
        <v>0.18523878437047755</v>
      </c>
      <c r="I6" s="13">
        <v>8669</v>
      </c>
      <c r="J6" s="13">
        <v>669</v>
      </c>
      <c r="K6" s="13">
        <v>127</v>
      </c>
      <c r="L6" s="13">
        <v>81</v>
      </c>
      <c r="M6">
        <f>K6/J6</f>
        <v>0.18983557548579971</v>
      </c>
      <c r="N6">
        <f>L6/J6</f>
        <v>0.1210762331838565</v>
      </c>
      <c r="O6">
        <f>M6-G6</f>
        <v>-6.4867753023606922E-2</v>
      </c>
      <c r="P6">
        <f>N6-H6</f>
        <v>-6.416255118662105E-2</v>
      </c>
    </row>
    <row r="7" spans="1:16" x14ac:dyDescent="0.35">
      <c r="A7" s="12" t="s">
        <v>45</v>
      </c>
      <c r="B7" s="12" t="str">
        <f>LEFT(A7,3)</f>
        <v>Fri</v>
      </c>
      <c r="C7" s="13">
        <v>8890</v>
      </c>
      <c r="D7" s="13">
        <v>706</v>
      </c>
      <c r="E7" s="13">
        <v>174</v>
      </c>
      <c r="F7" s="13">
        <v>101</v>
      </c>
      <c r="G7">
        <f>E7/D7</f>
        <v>0.24645892351274787</v>
      </c>
      <c r="H7">
        <f>F7/D7</f>
        <v>0.14305949008498584</v>
      </c>
      <c r="I7" s="13">
        <v>8715</v>
      </c>
      <c r="J7" s="13">
        <v>722</v>
      </c>
      <c r="K7" s="13">
        <v>182</v>
      </c>
      <c r="L7" s="13">
        <v>123</v>
      </c>
      <c r="M7">
        <f>K7/J7</f>
        <v>0.25207756232686979</v>
      </c>
      <c r="N7">
        <f>L7/J7</f>
        <v>0.17036011080332411</v>
      </c>
      <c r="O7">
        <f>M7-G7</f>
        <v>5.6186388141219179E-3</v>
      </c>
      <c r="P7">
        <f>N7-H7</f>
        <v>2.7300620718338275E-2</v>
      </c>
    </row>
    <row r="8" spans="1:16" x14ac:dyDescent="0.35">
      <c r="A8" s="12" t="s">
        <v>46</v>
      </c>
      <c r="B8" s="12" t="str">
        <f>LEFT(A8,3)</f>
        <v>Sat</v>
      </c>
      <c r="C8" s="13">
        <v>8460</v>
      </c>
      <c r="D8" s="13">
        <v>681</v>
      </c>
      <c r="E8" s="13">
        <v>156</v>
      </c>
      <c r="F8" s="13">
        <v>93</v>
      </c>
      <c r="G8">
        <f>E8/D8</f>
        <v>0.22907488986784141</v>
      </c>
      <c r="H8">
        <f>F8/D8</f>
        <v>0.13656387665198239</v>
      </c>
      <c r="I8" s="13">
        <v>8448</v>
      </c>
      <c r="J8" s="13">
        <v>695</v>
      </c>
      <c r="K8" s="13">
        <v>142</v>
      </c>
      <c r="L8" s="13">
        <v>100</v>
      </c>
      <c r="M8">
        <f>K8/J8</f>
        <v>0.20431654676258992</v>
      </c>
      <c r="N8">
        <f>L8/J8</f>
        <v>0.14388489208633093</v>
      </c>
      <c r="O8">
        <f>M8-G8</f>
        <v>-2.475834310525149E-2</v>
      </c>
      <c r="P8">
        <f>N8-H8</f>
        <v>7.3210154343485434E-3</v>
      </c>
    </row>
    <row r="9" spans="1:16" x14ac:dyDescent="0.35">
      <c r="A9" s="12" t="s">
        <v>44</v>
      </c>
      <c r="B9" s="12" t="str">
        <f>LEFT(A9,3)</f>
        <v>Thu</v>
      </c>
      <c r="C9" s="13">
        <v>9345</v>
      </c>
      <c r="D9" s="13">
        <v>734</v>
      </c>
      <c r="E9" s="13">
        <v>167</v>
      </c>
      <c r="F9" s="13">
        <v>75</v>
      </c>
      <c r="G9">
        <f>E9/D9</f>
        <v>0.22752043596730245</v>
      </c>
      <c r="H9">
        <f>F9/D9</f>
        <v>0.10217983651226158</v>
      </c>
      <c r="I9" s="13">
        <v>9308</v>
      </c>
      <c r="J9" s="13">
        <v>728</v>
      </c>
      <c r="K9" s="13">
        <v>207</v>
      </c>
      <c r="L9" s="13">
        <v>67</v>
      </c>
      <c r="M9">
        <f>K9/J9</f>
        <v>0.28434065934065933</v>
      </c>
      <c r="N9">
        <f>L9/J9</f>
        <v>9.2032967032967039E-2</v>
      </c>
      <c r="O9">
        <f>M9-G9</f>
        <v>5.6820223373356876E-2</v>
      </c>
      <c r="P9">
        <f>N9-H9</f>
        <v>-1.0146869479294537E-2</v>
      </c>
    </row>
    <row r="10" spans="1:16" x14ac:dyDescent="0.35">
      <c r="A10" s="12" t="s">
        <v>40</v>
      </c>
      <c r="B10" s="12" t="str">
        <f>LEFT(A10,3)</f>
        <v>Sun</v>
      </c>
      <c r="C10" s="13">
        <v>8896</v>
      </c>
      <c r="D10" s="13">
        <v>708</v>
      </c>
      <c r="E10" s="13">
        <v>161</v>
      </c>
      <c r="F10" s="13">
        <v>104</v>
      </c>
      <c r="G10">
        <f>E10/D10</f>
        <v>0.22740112994350281</v>
      </c>
      <c r="H10">
        <f>F10/D10</f>
        <v>0.14689265536723164</v>
      </c>
      <c r="I10" s="13">
        <v>8881</v>
      </c>
      <c r="J10" s="13">
        <v>693</v>
      </c>
      <c r="K10" s="13">
        <v>153</v>
      </c>
      <c r="L10" s="13">
        <v>101</v>
      </c>
      <c r="M10">
        <f>K10/J10</f>
        <v>0.22077922077922077</v>
      </c>
      <c r="N10">
        <f>L10/J10</f>
        <v>0.14574314574314573</v>
      </c>
      <c r="O10">
        <f>M10-G10</f>
        <v>-6.6219091642820416E-3</v>
      </c>
      <c r="P10">
        <f>N10-H10</f>
        <v>-1.1495096240859148E-3</v>
      </c>
    </row>
    <row r="11" spans="1:16" x14ac:dyDescent="0.35">
      <c r="A11" s="12" t="s">
        <v>35</v>
      </c>
      <c r="B11" s="12" t="str">
        <f>LEFT(A11,3)</f>
        <v>Tue</v>
      </c>
      <c r="C11" s="13">
        <v>10660</v>
      </c>
      <c r="D11" s="13">
        <v>867</v>
      </c>
      <c r="E11" s="13">
        <v>196</v>
      </c>
      <c r="F11" s="13">
        <v>105</v>
      </c>
      <c r="G11">
        <f>E11/D11</f>
        <v>0.22606689734717417</v>
      </c>
      <c r="H11">
        <f>F11/D11</f>
        <v>0.12110726643598616</v>
      </c>
      <c r="I11" s="13">
        <v>10551</v>
      </c>
      <c r="J11" s="13">
        <v>864</v>
      </c>
      <c r="K11" s="13">
        <v>143</v>
      </c>
      <c r="L11" s="13">
        <v>71</v>
      </c>
      <c r="M11">
        <f>K11/J11</f>
        <v>0.16550925925925927</v>
      </c>
      <c r="N11">
        <f>L11/J11</f>
        <v>8.217592592592593E-2</v>
      </c>
      <c r="O11">
        <f>M11-G11</f>
        <v>-6.0557638087914895E-2</v>
      </c>
      <c r="P11">
        <f>N11-H11</f>
        <v>-3.8931340510060225E-2</v>
      </c>
    </row>
    <row r="12" spans="1:16" x14ac:dyDescent="0.35">
      <c r="A12" s="12" t="s">
        <v>42</v>
      </c>
      <c r="B12" s="12" t="str">
        <f>LEFT(A12,3)</f>
        <v>Tue</v>
      </c>
      <c r="C12" s="13">
        <v>9363</v>
      </c>
      <c r="D12" s="13">
        <v>736</v>
      </c>
      <c r="E12" s="13">
        <v>154</v>
      </c>
      <c r="F12" s="13">
        <v>91</v>
      </c>
      <c r="G12">
        <f>E12/D12</f>
        <v>0.20923913043478262</v>
      </c>
      <c r="H12">
        <f>F12/D12</f>
        <v>0.12364130434782608</v>
      </c>
      <c r="I12" s="13">
        <v>9396</v>
      </c>
      <c r="J12" s="13">
        <v>736</v>
      </c>
      <c r="K12" s="13">
        <v>162</v>
      </c>
      <c r="L12" s="13">
        <v>120</v>
      </c>
      <c r="M12">
        <f>K12/J12</f>
        <v>0.22010869565217392</v>
      </c>
      <c r="N12">
        <f>L12/J12</f>
        <v>0.16304347826086957</v>
      </c>
      <c r="O12">
        <f>M12-G12</f>
        <v>1.0869565217391297E-2</v>
      </c>
      <c r="P12">
        <f>N12-H12</f>
        <v>3.9402173913043487E-2</v>
      </c>
    </row>
    <row r="13" spans="1:16" x14ac:dyDescent="0.35">
      <c r="A13" s="12" t="s">
        <v>31</v>
      </c>
      <c r="B13" s="12" t="str">
        <f>LEFT(A13,3)</f>
        <v>Fri</v>
      </c>
      <c r="C13" s="13">
        <v>9008</v>
      </c>
      <c r="D13" s="13">
        <v>748</v>
      </c>
      <c r="E13" s="13">
        <v>146</v>
      </c>
      <c r="F13" s="13">
        <v>76</v>
      </c>
      <c r="G13">
        <f>E13/D13</f>
        <v>0.19518716577540107</v>
      </c>
      <c r="H13">
        <f>F13/D13</f>
        <v>0.10160427807486631</v>
      </c>
      <c r="I13" s="13">
        <v>9088</v>
      </c>
      <c r="J13" s="13">
        <v>780</v>
      </c>
      <c r="K13" s="13">
        <v>127</v>
      </c>
      <c r="L13" s="13">
        <v>44</v>
      </c>
      <c r="M13">
        <f>K13/J13</f>
        <v>0.16282051282051282</v>
      </c>
      <c r="N13">
        <f>L13/J13</f>
        <v>5.6410256410256411E-2</v>
      </c>
      <c r="O13">
        <f>M13-G13</f>
        <v>-3.2366652954888248E-2</v>
      </c>
      <c r="P13">
        <f>N13-H13</f>
        <v>-4.5194021664609903E-2</v>
      </c>
    </row>
    <row r="14" spans="1:16" x14ac:dyDescent="0.35">
      <c r="A14" s="12" t="s">
        <v>25</v>
      </c>
      <c r="B14" s="12" t="str">
        <f>LEFT(A14,3)</f>
        <v>Sat</v>
      </c>
      <c r="C14" s="13">
        <v>7723</v>
      </c>
      <c r="D14" s="13">
        <v>687</v>
      </c>
      <c r="E14" s="13">
        <v>134</v>
      </c>
      <c r="F14" s="13">
        <v>70</v>
      </c>
      <c r="G14">
        <f>E14/D14</f>
        <v>0.1950509461426492</v>
      </c>
      <c r="H14">
        <f>F14/D14</f>
        <v>0.10189228529839883</v>
      </c>
      <c r="I14" s="13">
        <v>7716</v>
      </c>
      <c r="J14" s="13">
        <v>686</v>
      </c>
      <c r="K14" s="13">
        <v>105</v>
      </c>
      <c r="L14" s="13">
        <v>34</v>
      </c>
      <c r="M14">
        <f>K14/J14</f>
        <v>0.15306122448979592</v>
      </c>
      <c r="N14">
        <f>L14/J14</f>
        <v>4.9562682215743441E-2</v>
      </c>
      <c r="O14">
        <f>M14-G14</f>
        <v>-4.1989721652853279E-2</v>
      </c>
      <c r="P14">
        <f>N14-H14</f>
        <v>-5.2329603082655392E-2</v>
      </c>
    </row>
    <row r="15" spans="1:16" x14ac:dyDescent="0.35">
      <c r="A15" s="12" t="s">
        <v>29</v>
      </c>
      <c r="B15" s="12" t="str">
        <f>LEFT(A15,3)</f>
        <v>Wed</v>
      </c>
      <c r="C15" s="13">
        <v>10014</v>
      </c>
      <c r="D15" s="13">
        <v>837</v>
      </c>
      <c r="E15" s="13">
        <v>163</v>
      </c>
      <c r="F15" s="13">
        <v>64</v>
      </c>
      <c r="G15">
        <f>E15/D15</f>
        <v>0.19474313022700118</v>
      </c>
      <c r="H15">
        <f>F15/D15</f>
        <v>7.6463560334528072E-2</v>
      </c>
      <c r="I15" s="13">
        <v>9793</v>
      </c>
      <c r="J15" s="13">
        <v>832</v>
      </c>
      <c r="K15" s="13">
        <v>140</v>
      </c>
      <c r="L15" s="13">
        <v>94</v>
      </c>
      <c r="M15">
        <f>K15/J15</f>
        <v>0.16826923076923078</v>
      </c>
      <c r="N15">
        <f>L15/J15</f>
        <v>0.11298076923076923</v>
      </c>
      <c r="O15">
        <f>M15-G15</f>
        <v>-2.64738994577704E-2</v>
      </c>
      <c r="P15">
        <f>N15-H15</f>
        <v>3.651720889624116E-2</v>
      </c>
    </row>
    <row r="16" spans="1:16" x14ac:dyDescent="0.35">
      <c r="A16" s="12" t="s">
        <v>36</v>
      </c>
      <c r="B16" s="12" t="str">
        <f>LEFT(A16,3)</f>
        <v>Wed</v>
      </c>
      <c r="C16" s="13">
        <v>9947</v>
      </c>
      <c r="D16" s="13">
        <v>838</v>
      </c>
      <c r="E16" s="13">
        <v>162</v>
      </c>
      <c r="F16" s="13">
        <v>92</v>
      </c>
      <c r="G16">
        <f>E16/D16</f>
        <v>0.19331742243436753</v>
      </c>
      <c r="H16">
        <f>F16/D16</f>
        <v>0.10978520286396182</v>
      </c>
      <c r="I16" s="13">
        <v>9737</v>
      </c>
      <c r="J16" s="13">
        <v>801</v>
      </c>
      <c r="K16" s="13">
        <v>128</v>
      </c>
      <c r="L16" s="13">
        <v>70</v>
      </c>
      <c r="M16">
        <f>K16/J16</f>
        <v>0.15980024968789014</v>
      </c>
      <c r="N16">
        <f>L16/J16</f>
        <v>8.7390761548064924E-2</v>
      </c>
      <c r="O16">
        <f>M16-G16</f>
        <v>-3.3517172746477392E-2</v>
      </c>
      <c r="P16">
        <f>N16-H16</f>
        <v>-2.2394441315896893E-2</v>
      </c>
    </row>
    <row r="17" spans="1:16" x14ac:dyDescent="0.35">
      <c r="A17" s="12" t="s">
        <v>34</v>
      </c>
      <c r="B17" s="12" t="str">
        <f>LEFT(A17,3)</f>
        <v>Mon</v>
      </c>
      <c r="C17" s="13">
        <v>10667</v>
      </c>
      <c r="D17" s="13">
        <v>861</v>
      </c>
      <c r="E17" s="13">
        <v>165</v>
      </c>
      <c r="F17" s="13">
        <v>97</v>
      </c>
      <c r="G17">
        <f>E17/D17</f>
        <v>0.19163763066202091</v>
      </c>
      <c r="H17">
        <f>F17/D17</f>
        <v>0.11265969802555169</v>
      </c>
      <c r="I17" s="13">
        <v>10496</v>
      </c>
      <c r="J17" s="13">
        <v>860</v>
      </c>
      <c r="K17" s="13">
        <v>153</v>
      </c>
      <c r="L17" s="13">
        <v>98</v>
      </c>
      <c r="M17">
        <f>K17/J17</f>
        <v>0.17790697674418604</v>
      </c>
      <c r="N17">
        <f>L17/J17</f>
        <v>0.11395348837209303</v>
      </c>
      <c r="O17">
        <f>M17-G17</f>
        <v>-1.3730653917834873E-2</v>
      </c>
      <c r="P17">
        <f>N17-H17</f>
        <v>1.2937903465413403E-3</v>
      </c>
    </row>
    <row r="18" spans="1:16" x14ac:dyDescent="0.35">
      <c r="A18" s="12" t="s">
        <v>37</v>
      </c>
      <c r="B18" s="12" t="str">
        <f>LEFT(A18,3)</f>
        <v>Thu</v>
      </c>
      <c r="C18" s="13">
        <v>8324</v>
      </c>
      <c r="D18" s="13">
        <v>665</v>
      </c>
      <c r="E18" s="13">
        <v>127</v>
      </c>
      <c r="F18" s="13">
        <v>56</v>
      </c>
      <c r="G18">
        <f>E18/D18</f>
        <v>0.19097744360902255</v>
      </c>
      <c r="H18">
        <f>F18/D18</f>
        <v>8.4210526315789472E-2</v>
      </c>
      <c r="I18" s="13">
        <v>8176</v>
      </c>
      <c r="J18" s="13">
        <v>642</v>
      </c>
      <c r="K18" s="13">
        <v>122</v>
      </c>
      <c r="L18" s="13">
        <v>68</v>
      </c>
      <c r="M18">
        <f>K18/J18</f>
        <v>0.19003115264797507</v>
      </c>
      <c r="N18">
        <f>L18/J18</f>
        <v>0.1059190031152648</v>
      </c>
      <c r="O18">
        <f>M18-G18</f>
        <v>-9.4629096104748012E-4</v>
      </c>
      <c r="P18">
        <f>N18-H18</f>
        <v>2.1708476799475324E-2</v>
      </c>
    </row>
    <row r="19" spans="1:16" x14ac:dyDescent="0.35">
      <c r="A19" s="12" t="s">
        <v>33</v>
      </c>
      <c r="B19" s="12" t="str">
        <f>LEFT(A19,3)</f>
        <v>Sun</v>
      </c>
      <c r="C19" s="13">
        <v>8459</v>
      </c>
      <c r="D19" s="13">
        <v>691</v>
      </c>
      <c r="E19" s="13">
        <v>131</v>
      </c>
      <c r="F19" s="13">
        <v>60</v>
      </c>
      <c r="G19">
        <f>E19/D19</f>
        <v>0.18958031837916064</v>
      </c>
      <c r="H19">
        <f>F19/D19</f>
        <v>8.6830680173661356E-2</v>
      </c>
      <c r="I19" s="13">
        <v>8434</v>
      </c>
      <c r="J19" s="13">
        <v>697</v>
      </c>
      <c r="K19" s="13">
        <v>120</v>
      </c>
      <c r="L19" s="13">
        <v>77</v>
      </c>
      <c r="M19">
        <f>K19/J19</f>
        <v>0.17216642754662842</v>
      </c>
      <c r="N19">
        <f>L19/J19</f>
        <v>0.11047345767575323</v>
      </c>
      <c r="O19">
        <f>M19-G19</f>
        <v>-1.7413890832532225E-2</v>
      </c>
      <c r="P19">
        <f>N19-H19</f>
        <v>2.3642777502091872E-2</v>
      </c>
    </row>
    <row r="20" spans="1:16" x14ac:dyDescent="0.35">
      <c r="A20" s="12" t="s">
        <v>26</v>
      </c>
      <c r="B20" s="12" t="str">
        <f>LEFT(A20,3)</f>
        <v>Sun</v>
      </c>
      <c r="C20" s="13">
        <v>9102</v>
      </c>
      <c r="D20" s="13">
        <v>779</v>
      </c>
      <c r="E20" s="13">
        <v>147</v>
      </c>
      <c r="F20" s="13">
        <v>70</v>
      </c>
      <c r="G20">
        <f>E20/D20</f>
        <v>0.18870346598202825</v>
      </c>
      <c r="H20">
        <f>F20/D20</f>
        <v>8.9858793324775352E-2</v>
      </c>
      <c r="I20" s="13">
        <v>9288</v>
      </c>
      <c r="J20" s="13">
        <v>785</v>
      </c>
      <c r="K20" s="13">
        <v>116</v>
      </c>
      <c r="L20" s="13">
        <v>91</v>
      </c>
      <c r="M20">
        <f>K20/J20</f>
        <v>0.14777070063694267</v>
      </c>
      <c r="N20">
        <f>L20/J20</f>
        <v>0.11592356687898089</v>
      </c>
      <c r="O20">
        <f>M20-G20</f>
        <v>-4.0932765345085581E-2</v>
      </c>
      <c r="P20">
        <f>N20-H20</f>
        <v>2.6064773554205542E-2</v>
      </c>
    </row>
    <row r="21" spans="1:16" x14ac:dyDescent="0.35">
      <c r="A21" s="12" t="s">
        <v>28</v>
      </c>
      <c r="B21" s="12" t="str">
        <f>LEFT(A21,3)</f>
        <v>Tue</v>
      </c>
      <c r="C21" s="13">
        <v>9871</v>
      </c>
      <c r="D21" s="13">
        <v>836</v>
      </c>
      <c r="E21" s="13">
        <v>156</v>
      </c>
      <c r="F21" s="13">
        <v>105</v>
      </c>
      <c r="G21">
        <f>E21/D21</f>
        <v>0.18660287081339713</v>
      </c>
      <c r="H21">
        <f>F21/D21</f>
        <v>0.1255980861244019</v>
      </c>
      <c r="I21" s="13">
        <v>9867</v>
      </c>
      <c r="J21" s="13">
        <v>827</v>
      </c>
      <c r="K21" s="13">
        <v>138</v>
      </c>
      <c r="L21" s="13">
        <v>92</v>
      </c>
      <c r="M21">
        <f>K21/J21</f>
        <v>0.16686819830713423</v>
      </c>
      <c r="N21">
        <f>L21/J21</f>
        <v>0.11124546553808948</v>
      </c>
      <c r="O21">
        <f>M21-G21</f>
        <v>-1.9734672506262901E-2</v>
      </c>
      <c r="P21">
        <f>N21-H21</f>
        <v>-1.4352620586312426E-2</v>
      </c>
    </row>
    <row r="22" spans="1:16" x14ac:dyDescent="0.35">
      <c r="A22" s="12" t="s">
        <v>27</v>
      </c>
      <c r="B22" s="12" t="str">
        <f>LEFT(A22,3)</f>
        <v>Mon</v>
      </c>
      <c r="C22" s="13">
        <v>10511</v>
      </c>
      <c r="D22" s="13">
        <v>909</v>
      </c>
      <c r="E22" s="13">
        <v>167</v>
      </c>
      <c r="F22" s="13">
        <v>95</v>
      </c>
      <c r="G22">
        <f>E22/D22</f>
        <v>0.18371837183718373</v>
      </c>
      <c r="H22">
        <f>F22/D22</f>
        <v>0.10451045104510451</v>
      </c>
      <c r="I22" s="13">
        <v>10480</v>
      </c>
      <c r="J22" s="13">
        <v>884</v>
      </c>
      <c r="K22" s="13">
        <v>145</v>
      </c>
      <c r="L22" s="13">
        <v>79</v>
      </c>
      <c r="M22">
        <f>K22/J22</f>
        <v>0.16402714932126697</v>
      </c>
      <c r="N22">
        <f>L22/J22</f>
        <v>8.9366515837104074E-2</v>
      </c>
      <c r="O22">
        <f>M22-G22</f>
        <v>-1.9691222515916762E-2</v>
      </c>
      <c r="P22">
        <f>N22-H22</f>
        <v>-1.5143935208000434E-2</v>
      </c>
    </row>
    <row r="23" spans="1:16" x14ac:dyDescent="0.35">
      <c r="A23" s="12" t="s">
        <v>32</v>
      </c>
      <c r="B23" s="12" t="str">
        <f>LEFT(A23,3)</f>
        <v>Sat</v>
      </c>
      <c r="C23" s="13">
        <v>7434</v>
      </c>
      <c r="D23" s="13">
        <v>632</v>
      </c>
      <c r="E23" s="13">
        <v>110</v>
      </c>
      <c r="F23" s="13">
        <v>70</v>
      </c>
      <c r="G23">
        <f>E23/D23</f>
        <v>0.17405063291139242</v>
      </c>
      <c r="H23">
        <f>F23/D23</f>
        <v>0.11075949367088607</v>
      </c>
      <c r="I23" s="13">
        <v>7664</v>
      </c>
      <c r="J23" s="13">
        <v>652</v>
      </c>
      <c r="K23" s="13">
        <v>94</v>
      </c>
      <c r="L23" s="13">
        <v>62</v>
      </c>
      <c r="M23">
        <f>K23/J23</f>
        <v>0.14417177914110429</v>
      </c>
      <c r="N23">
        <f>L23/J23</f>
        <v>9.5092024539877307E-2</v>
      </c>
      <c r="O23">
        <f>M23-G23</f>
        <v>-2.9878853770288122E-2</v>
      </c>
      <c r="P23">
        <f>N23-H23</f>
        <v>-1.5667469131008763E-2</v>
      </c>
    </row>
    <row r="24" spans="1:16" x14ac:dyDescent="0.35">
      <c r="A24" s="12" t="s">
        <v>30</v>
      </c>
      <c r="B24" s="12" t="str">
        <f>LEFT(A24,3)</f>
        <v>Thu</v>
      </c>
      <c r="C24" s="13">
        <v>9670</v>
      </c>
      <c r="D24" s="13">
        <v>823</v>
      </c>
      <c r="E24" s="13">
        <v>138</v>
      </c>
      <c r="F24" s="13">
        <v>82</v>
      </c>
      <c r="G24">
        <f>E24/D24</f>
        <v>0.16767922235722965</v>
      </c>
      <c r="H24">
        <f>F24/D24</f>
        <v>9.9635479951397321E-2</v>
      </c>
      <c r="I24" s="13">
        <v>9500</v>
      </c>
      <c r="J24" s="13">
        <v>788</v>
      </c>
      <c r="K24" s="13">
        <v>129</v>
      </c>
      <c r="L24" s="13">
        <v>61</v>
      </c>
      <c r="M24">
        <f>K24/J24</f>
        <v>0.16370558375634517</v>
      </c>
      <c r="N24">
        <f>L24/J24</f>
        <v>7.7411167512690351E-2</v>
      </c>
      <c r="O24">
        <f>M24-G24</f>
        <v>-3.9736386008844826E-3</v>
      </c>
      <c r="P24">
        <f>N24-H24</f>
        <v>-2.222431243870697E-2</v>
      </c>
    </row>
  </sheetData>
  <sortState ref="A1:S24">
    <sortCondition descending="1" ref="G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topLeftCell="B1" workbookViewId="0">
      <selection activeCell="B4" sqref="B4"/>
    </sheetView>
  </sheetViews>
  <sheetFormatPr defaultRowHeight="12.75" x14ac:dyDescent="0.35"/>
  <cols>
    <col min="1" max="1" width="13.1328125" bestFit="1" customWidth="1"/>
    <col min="2" max="2" width="17.9296875" customWidth="1"/>
    <col min="3" max="3" width="17.19921875" customWidth="1"/>
    <col min="4" max="4" width="17.19921875" bestFit="1" customWidth="1"/>
  </cols>
  <sheetData>
    <row r="3" spans="1:3" x14ac:dyDescent="0.35">
      <c r="A3" s="24" t="s">
        <v>79</v>
      </c>
      <c r="B3" t="s">
        <v>88</v>
      </c>
      <c r="C3" t="s">
        <v>89</v>
      </c>
    </row>
    <row r="4" spans="1:3" x14ac:dyDescent="0.35">
      <c r="A4" s="25" t="s">
        <v>80</v>
      </c>
      <c r="B4" s="26">
        <v>-2.771141178264596E-2</v>
      </c>
      <c r="C4" s="26">
        <v>2.3535534530320139E-2</v>
      </c>
    </row>
    <row r="5" spans="1:3" x14ac:dyDescent="0.35">
      <c r="A5" s="25" t="s">
        <v>81</v>
      </c>
      <c r="B5" s="26">
        <v>-2.1380052398108796E-2</v>
      </c>
      <c r="C5" s="26">
        <v>-7.6259991338025702E-3</v>
      </c>
    </row>
    <row r="6" spans="1:3" x14ac:dyDescent="0.35">
      <c r="A6" s="25" t="s">
        <v>82</v>
      </c>
      <c r="B6" s="26">
        <v>-2.3140915125595501E-2</v>
      </c>
      <c r="C6" s="26">
        <v>-4.6272623944430546E-3</v>
      </c>
    </row>
    <row r="7" spans="1:3" x14ac:dyDescent="0.35">
      <c r="A7" s="25" t="s">
        <v>83</v>
      </c>
      <c r="B7" s="26">
        <v>-1.6245222464989339E-2</v>
      </c>
      <c r="C7" s="26">
        <v>9.9329361590924509E-3</v>
      </c>
    </row>
    <row r="8" spans="1:3" x14ac:dyDescent="0.35">
      <c r="A8" s="25" t="s">
        <v>84</v>
      </c>
      <c r="B8" s="26">
        <v>1.7300097937141639E-2</v>
      </c>
      <c r="C8" s="26">
        <v>-3.5542350395087277E-3</v>
      </c>
    </row>
    <row r="9" spans="1:3" x14ac:dyDescent="0.35">
      <c r="A9" s="25" t="s">
        <v>85</v>
      </c>
      <c r="B9" s="26">
        <v>-2.5102263945292191E-2</v>
      </c>
      <c r="C9" s="26">
        <v>-2.1435853231657958E-2</v>
      </c>
    </row>
    <row r="10" spans="1:3" x14ac:dyDescent="0.35">
      <c r="A10" s="25" t="s">
        <v>86</v>
      </c>
      <c r="B10" s="26">
        <v>-4.0373667887999953E-2</v>
      </c>
      <c r="C10" s="26">
        <v>-3.1209651991484164E-2</v>
      </c>
    </row>
    <row r="11" spans="1:3" x14ac:dyDescent="0.35">
      <c r="A11" s="25" t="s">
        <v>87</v>
      </c>
      <c r="B11" s="26">
        <v>-2.0784582029265922E-2</v>
      </c>
      <c r="C11" s="26">
        <v>-4.8968569898093775E-3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pane xSplit="1" topLeftCell="B1" activePane="topRight" state="frozen"/>
      <selection pane="topRight" activeCell="J2" sqref="J2:J14"/>
    </sheetView>
  </sheetViews>
  <sheetFormatPr defaultRowHeight="12.75" x14ac:dyDescent="0.35"/>
  <cols>
    <col min="1" max="2" width="11.59765625" customWidth="1"/>
    <col min="3" max="3" width="9.9296875" customWidth="1"/>
    <col min="4" max="4" width="5.6640625" bestFit="1" customWidth="1"/>
    <col min="5" max="5" width="11" customWidth="1"/>
    <col min="6" max="6" width="8.73046875" bestFit="1" customWidth="1"/>
  </cols>
  <sheetData>
    <row r="1" spans="1:10" x14ac:dyDescent="0.35">
      <c r="A1" s="12" t="s">
        <v>21</v>
      </c>
      <c r="B1" s="12" t="s">
        <v>78</v>
      </c>
      <c r="C1" s="12" t="s">
        <v>22</v>
      </c>
      <c r="D1" s="12" t="s">
        <v>18</v>
      </c>
      <c r="E1" s="12" t="s">
        <v>23</v>
      </c>
      <c r="F1" s="12" t="s">
        <v>24</v>
      </c>
      <c r="G1" s="12" t="s">
        <v>74</v>
      </c>
      <c r="H1" s="12" t="s">
        <v>106</v>
      </c>
      <c r="I1" s="12" t="s">
        <v>76</v>
      </c>
      <c r="J1" s="12" t="s">
        <v>90</v>
      </c>
    </row>
    <row r="2" spans="1:10" x14ac:dyDescent="0.35">
      <c r="A2" s="12" t="s">
        <v>39</v>
      </c>
      <c r="B2" s="12" t="str">
        <f>LEFT(A2,3)</f>
        <v>Sat</v>
      </c>
      <c r="C2" s="13">
        <v>8669</v>
      </c>
      <c r="D2" s="13">
        <v>669</v>
      </c>
      <c r="E2" s="13">
        <v>127</v>
      </c>
      <c r="F2" s="13">
        <v>81</v>
      </c>
      <c r="G2">
        <f>E2/D2</f>
        <v>0.18983557548579971</v>
      </c>
      <c r="H2">
        <f>F2/D2</f>
        <v>0.1210762331838565</v>
      </c>
      <c r="I2">
        <f>G2-control!F16</f>
        <v>-6.4867753023606922E-2</v>
      </c>
      <c r="J2">
        <f>H2-control!G16</f>
        <v>-6.416255118662105E-2</v>
      </c>
    </row>
    <row r="3" spans="1:10" x14ac:dyDescent="0.35">
      <c r="A3" s="12" t="s">
        <v>25</v>
      </c>
      <c r="B3" s="12" t="str">
        <f>LEFT(A3,3)</f>
        <v>Sat</v>
      </c>
      <c r="C3" s="13">
        <v>7716</v>
      </c>
      <c r="D3" s="13">
        <v>686</v>
      </c>
      <c r="E3" s="13">
        <v>105</v>
      </c>
      <c r="F3" s="13">
        <v>34</v>
      </c>
      <c r="G3">
        <f>E3/D3</f>
        <v>0.15306122448979592</v>
      </c>
      <c r="H3">
        <f>F3/D3</f>
        <v>4.9562682215743441E-2</v>
      </c>
      <c r="I3">
        <f>G3-control!F2</f>
        <v>-4.1989721652853279E-2</v>
      </c>
      <c r="J3">
        <f>H3-control!G2</f>
        <v>-5.2329603082655392E-2</v>
      </c>
    </row>
    <row r="4" spans="1:10" x14ac:dyDescent="0.35">
      <c r="A4" s="12" t="s">
        <v>38</v>
      </c>
      <c r="B4" s="12" t="str">
        <f>LEFT(A4,3)</f>
        <v>Fri</v>
      </c>
      <c r="C4" s="13">
        <v>9402</v>
      </c>
      <c r="D4" s="13">
        <v>697</v>
      </c>
      <c r="E4" s="13">
        <v>194</v>
      </c>
      <c r="F4" s="13">
        <v>94</v>
      </c>
      <c r="G4">
        <f>E4/D4</f>
        <v>0.27833572453371591</v>
      </c>
      <c r="H4">
        <f>F4/D4</f>
        <v>0.13486370157819225</v>
      </c>
      <c r="I4">
        <f>G4-control!F15</f>
        <v>-4.8558777695110245E-2</v>
      </c>
      <c r="J4">
        <f>H4-control!G15</f>
        <v>-4.641415874870225E-2</v>
      </c>
    </row>
    <row r="5" spans="1:10" x14ac:dyDescent="0.35">
      <c r="A5" s="12" t="s">
        <v>31</v>
      </c>
      <c r="B5" s="12" t="str">
        <f>LEFT(A5,3)</f>
        <v>Fri</v>
      </c>
      <c r="C5" s="13">
        <v>9088</v>
      </c>
      <c r="D5" s="13">
        <v>780</v>
      </c>
      <c r="E5" s="13">
        <v>127</v>
      </c>
      <c r="F5" s="13">
        <v>44</v>
      </c>
      <c r="G5">
        <f>E5/D5</f>
        <v>0.16282051282051282</v>
      </c>
      <c r="H5">
        <f>F5/D5</f>
        <v>5.6410256410256411E-2</v>
      </c>
      <c r="I5">
        <f>G5-control!F8</f>
        <v>-3.2366652954888248E-2</v>
      </c>
      <c r="J5">
        <f>H5-control!G8</f>
        <v>-4.5194021664609903E-2</v>
      </c>
    </row>
    <row r="6" spans="1:10" x14ac:dyDescent="0.35">
      <c r="A6" s="12" t="s">
        <v>35</v>
      </c>
      <c r="B6" s="12" t="str">
        <f>LEFT(A6,3)</f>
        <v>Tue</v>
      </c>
      <c r="C6" s="13">
        <v>10551</v>
      </c>
      <c r="D6" s="13">
        <v>864</v>
      </c>
      <c r="E6" s="13">
        <v>143</v>
      </c>
      <c r="F6" s="13">
        <v>71</v>
      </c>
      <c r="G6">
        <f>E6/D6</f>
        <v>0.16550925925925927</v>
      </c>
      <c r="H6">
        <f>F6/D6</f>
        <v>8.217592592592593E-2</v>
      </c>
      <c r="I6">
        <f>G6-control!F12</f>
        <v>-6.0557638087914895E-2</v>
      </c>
      <c r="J6">
        <f>H6-control!G12</f>
        <v>-3.8931340510060225E-2</v>
      </c>
    </row>
    <row r="7" spans="1:10" x14ac:dyDescent="0.35">
      <c r="A7" s="12" t="s">
        <v>36</v>
      </c>
      <c r="B7" s="12" t="str">
        <f>LEFT(A7,3)</f>
        <v>Wed</v>
      </c>
      <c r="C7" s="13">
        <v>9737</v>
      </c>
      <c r="D7" s="13">
        <v>801</v>
      </c>
      <c r="E7" s="13">
        <v>128</v>
      </c>
      <c r="F7" s="13">
        <v>70</v>
      </c>
      <c r="G7">
        <f>E7/D7</f>
        <v>0.15980024968789014</v>
      </c>
      <c r="H7">
        <f>F7/D7</f>
        <v>8.7390761548064924E-2</v>
      </c>
      <c r="I7">
        <f>G7-control!F13</f>
        <v>-3.3517172746477392E-2</v>
      </c>
      <c r="J7">
        <f>H7-control!G13</f>
        <v>-2.2394441315896893E-2</v>
      </c>
    </row>
    <row r="8" spans="1:10" x14ac:dyDescent="0.35">
      <c r="A8" s="12" t="s">
        <v>30</v>
      </c>
      <c r="B8" s="12" t="str">
        <f>LEFT(A8,3)</f>
        <v>Thu</v>
      </c>
      <c r="C8" s="13">
        <v>9500</v>
      </c>
      <c r="D8" s="13">
        <v>788</v>
      </c>
      <c r="E8" s="13">
        <v>129</v>
      </c>
      <c r="F8" s="13">
        <v>61</v>
      </c>
      <c r="G8">
        <f>E8/D8</f>
        <v>0.16370558375634517</v>
      </c>
      <c r="H8">
        <f>F8/D8</f>
        <v>7.7411167512690351E-2</v>
      </c>
      <c r="I8">
        <f>G8-control!F7</f>
        <v>-3.9736386008844826E-3</v>
      </c>
      <c r="J8">
        <f>H8-control!G7</f>
        <v>-2.222431243870697E-2</v>
      </c>
    </row>
    <row r="9" spans="1:10" x14ac:dyDescent="0.35">
      <c r="A9" s="12" t="s">
        <v>32</v>
      </c>
      <c r="B9" s="12" t="str">
        <f>LEFT(A9,3)</f>
        <v>Sat</v>
      </c>
      <c r="C9" s="13">
        <v>7664</v>
      </c>
      <c r="D9" s="13">
        <v>652</v>
      </c>
      <c r="E9" s="13">
        <v>94</v>
      </c>
      <c r="F9" s="13">
        <v>62</v>
      </c>
      <c r="G9">
        <f>E9/D9</f>
        <v>0.14417177914110429</v>
      </c>
      <c r="H9">
        <f>F9/D9</f>
        <v>9.5092024539877307E-2</v>
      </c>
      <c r="I9">
        <f>G9-control!F9</f>
        <v>-2.9878853770288122E-2</v>
      </c>
      <c r="J9">
        <f>H9-control!G9</f>
        <v>-1.5667469131008763E-2</v>
      </c>
    </row>
    <row r="10" spans="1:10" x14ac:dyDescent="0.35">
      <c r="A10" s="12" t="s">
        <v>27</v>
      </c>
      <c r="B10" s="12" t="str">
        <f>LEFT(A10,3)</f>
        <v>Mon</v>
      </c>
      <c r="C10" s="13">
        <v>10480</v>
      </c>
      <c r="D10" s="13">
        <v>884</v>
      </c>
      <c r="E10" s="13">
        <v>145</v>
      </c>
      <c r="F10" s="13">
        <v>79</v>
      </c>
      <c r="G10">
        <f>E10/D10</f>
        <v>0.16402714932126697</v>
      </c>
      <c r="H10">
        <f>F10/D10</f>
        <v>8.9366515837104074E-2</v>
      </c>
      <c r="I10">
        <f>G10-control!F4</f>
        <v>-1.9691222515916762E-2</v>
      </c>
      <c r="J10">
        <f>H10-control!G4</f>
        <v>-1.5143935208000434E-2</v>
      </c>
    </row>
    <row r="11" spans="1:10" x14ac:dyDescent="0.35">
      <c r="A11" s="12" t="s">
        <v>28</v>
      </c>
      <c r="B11" s="12" t="str">
        <f>LEFT(A11,3)</f>
        <v>Tue</v>
      </c>
      <c r="C11" s="13">
        <v>9867</v>
      </c>
      <c r="D11" s="13">
        <v>827</v>
      </c>
      <c r="E11" s="13">
        <v>138</v>
      </c>
      <c r="F11" s="13">
        <v>92</v>
      </c>
      <c r="G11">
        <f>E11/D11</f>
        <v>0.16686819830713423</v>
      </c>
      <c r="H11">
        <f>F11/D11</f>
        <v>0.11124546553808948</v>
      </c>
      <c r="I11">
        <f>G11-control!F5</f>
        <v>-1.9734672506262901E-2</v>
      </c>
      <c r="J11">
        <f>H11-control!G5</f>
        <v>-1.4352620586312426E-2</v>
      </c>
    </row>
    <row r="12" spans="1:10" x14ac:dyDescent="0.35">
      <c r="A12" s="12" t="s">
        <v>44</v>
      </c>
      <c r="B12" s="12" t="str">
        <f>LEFT(A12,3)</f>
        <v>Thu</v>
      </c>
      <c r="C12" s="13">
        <v>9308</v>
      </c>
      <c r="D12" s="13">
        <v>728</v>
      </c>
      <c r="E12" s="13">
        <v>207</v>
      </c>
      <c r="F12" s="13">
        <v>67</v>
      </c>
      <c r="G12">
        <f>E12/D12</f>
        <v>0.28434065934065933</v>
      </c>
      <c r="H12">
        <f>F12/D12</f>
        <v>9.2032967032967039E-2</v>
      </c>
      <c r="I12">
        <f>G12-control!F21</f>
        <v>5.6820223373356876E-2</v>
      </c>
      <c r="J12">
        <f>H12-control!G21</f>
        <v>-1.0146869479294537E-2</v>
      </c>
    </row>
    <row r="13" spans="1:10" x14ac:dyDescent="0.35">
      <c r="A13" s="12" t="s">
        <v>41</v>
      </c>
      <c r="B13" s="12" t="str">
        <f>LEFT(A13,3)</f>
        <v>Mon</v>
      </c>
      <c r="C13" s="13">
        <v>9655</v>
      </c>
      <c r="D13" s="13">
        <v>771</v>
      </c>
      <c r="E13" s="13">
        <v>213</v>
      </c>
      <c r="F13" s="13">
        <v>119</v>
      </c>
      <c r="G13">
        <f>E13/D13</f>
        <v>0.27626459143968873</v>
      </c>
      <c r="H13">
        <f>F13/D13</f>
        <v>0.15434500648508431</v>
      </c>
      <c r="I13">
        <f>G13-control!F18</f>
        <v>-3.0718280760574757E-2</v>
      </c>
      <c r="J13">
        <f>H13-control!G18</f>
        <v>-9.0278525399486165E-3</v>
      </c>
    </row>
    <row r="14" spans="1:10" x14ac:dyDescent="0.35">
      <c r="A14" s="12" t="s">
        <v>40</v>
      </c>
      <c r="B14" s="12" t="str">
        <f>LEFT(A14,3)</f>
        <v>Sun</v>
      </c>
      <c r="C14" s="13">
        <v>8881</v>
      </c>
      <c r="D14" s="13">
        <v>693</v>
      </c>
      <c r="E14" s="13">
        <v>153</v>
      </c>
      <c r="F14" s="13">
        <v>101</v>
      </c>
      <c r="G14">
        <f>E14/D14</f>
        <v>0.22077922077922077</v>
      </c>
      <c r="H14">
        <f>F14/D14</f>
        <v>0.14574314574314573</v>
      </c>
      <c r="I14">
        <f>G14-control!F17</f>
        <v>-6.6219091642820416E-3</v>
      </c>
      <c r="J14">
        <f>H14-control!G17</f>
        <v>-1.1495096240859148E-3</v>
      </c>
    </row>
    <row r="15" spans="1:10" x14ac:dyDescent="0.35">
      <c r="A15" s="12" t="s">
        <v>34</v>
      </c>
      <c r="B15" s="12" t="str">
        <f>LEFT(A15,3)</f>
        <v>Mon</v>
      </c>
      <c r="C15" s="13">
        <v>10496</v>
      </c>
      <c r="D15" s="13">
        <v>860</v>
      </c>
      <c r="E15" s="13">
        <v>153</v>
      </c>
      <c r="F15" s="13">
        <v>98</v>
      </c>
      <c r="G15">
        <f>E15/D15</f>
        <v>0.17790697674418604</v>
      </c>
      <c r="H15">
        <f>F15/D15</f>
        <v>0.11395348837209303</v>
      </c>
      <c r="I15">
        <f>G15-control!F11</f>
        <v>-1.3730653917834873E-2</v>
      </c>
      <c r="J15">
        <f>H15-control!G11</f>
        <v>1.2937903465413403E-3</v>
      </c>
    </row>
    <row r="16" spans="1:10" x14ac:dyDescent="0.35">
      <c r="A16" s="12" t="s">
        <v>46</v>
      </c>
      <c r="B16" s="12" t="str">
        <f>LEFT(A16,3)</f>
        <v>Sat</v>
      </c>
      <c r="C16" s="13">
        <v>8448</v>
      </c>
      <c r="D16" s="13">
        <v>695</v>
      </c>
      <c r="E16" s="13">
        <v>142</v>
      </c>
      <c r="F16" s="13">
        <v>100</v>
      </c>
      <c r="G16">
        <f>E16/D16</f>
        <v>0.20431654676258992</v>
      </c>
      <c r="H16">
        <f>F16/D16</f>
        <v>0.14388489208633093</v>
      </c>
      <c r="I16">
        <f>G16-control!F23</f>
        <v>-2.475834310525149E-2</v>
      </c>
      <c r="J16">
        <f>H16-control!G23</f>
        <v>7.3210154343485434E-3</v>
      </c>
    </row>
    <row r="17" spans="1:10" x14ac:dyDescent="0.35">
      <c r="A17" s="12" t="s">
        <v>43</v>
      </c>
      <c r="B17" s="12" t="str">
        <f>LEFT(A17,3)</f>
        <v>Wed</v>
      </c>
      <c r="C17" s="13">
        <v>9262</v>
      </c>
      <c r="D17" s="13">
        <v>727</v>
      </c>
      <c r="E17" s="13">
        <v>201</v>
      </c>
      <c r="F17" s="13">
        <v>96</v>
      </c>
      <c r="G17">
        <f>E17/D17</f>
        <v>0.27647867950481431</v>
      </c>
      <c r="H17">
        <f>F17/D17</f>
        <v>0.13204951856946354</v>
      </c>
      <c r="I17">
        <f>G17-control!F20</f>
        <v>1.1255404809279779E-2</v>
      </c>
      <c r="J17">
        <f>H17-control!G20</f>
        <v>1.5676040896933086E-2</v>
      </c>
    </row>
    <row r="18" spans="1:10" x14ac:dyDescent="0.35">
      <c r="A18" s="12" t="s">
        <v>37</v>
      </c>
      <c r="B18" s="12" t="str">
        <f>LEFT(A18,3)</f>
        <v>Thu</v>
      </c>
      <c r="C18" s="13">
        <v>8176</v>
      </c>
      <c r="D18" s="13">
        <v>642</v>
      </c>
      <c r="E18" s="13">
        <v>122</v>
      </c>
      <c r="F18" s="13">
        <v>68</v>
      </c>
      <c r="G18">
        <f>E18/D18</f>
        <v>0.19003115264797507</v>
      </c>
      <c r="H18">
        <f>F18/D18</f>
        <v>0.1059190031152648</v>
      </c>
      <c r="I18">
        <f>G18-control!F14</f>
        <v>-9.4629096104748012E-4</v>
      </c>
      <c r="J18">
        <f>H18-control!G14</f>
        <v>2.1708476799475324E-2</v>
      </c>
    </row>
    <row r="19" spans="1:10" x14ac:dyDescent="0.35">
      <c r="A19" s="12" t="s">
        <v>33</v>
      </c>
      <c r="B19" s="12" t="str">
        <f>LEFT(A19,3)</f>
        <v>Sun</v>
      </c>
      <c r="C19" s="13">
        <v>8434</v>
      </c>
      <c r="D19" s="13">
        <v>697</v>
      </c>
      <c r="E19" s="13">
        <v>120</v>
      </c>
      <c r="F19" s="13">
        <v>77</v>
      </c>
      <c r="G19">
        <f>E19/D19</f>
        <v>0.17216642754662842</v>
      </c>
      <c r="H19">
        <f>F19/D19</f>
        <v>0.11047345767575323</v>
      </c>
      <c r="I19">
        <f>G19-control!F10</f>
        <v>-1.7413890832532225E-2</v>
      </c>
      <c r="J19">
        <f>H19-control!G10</f>
        <v>2.3642777502091872E-2</v>
      </c>
    </row>
    <row r="20" spans="1:10" x14ac:dyDescent="0.35">
      <c r="A20" s="12" t="s">
        <v>26</v>
      </c>
      <c r="B20" s="12" t="str">
        <f>LEFT(A20,3)</f>
        <v>Sun</v>
      </c>
      <c r="C20" s="13">
        <v>9288</v>
      </c>
      <c r="D20" s="13">
        <v>785</v>
      </c>
      <c r="E20" s="13">
        <v>116</v>
      </c>
      <c r="F20" s="13">
        <v>91</v>
      </c>
      <c r="G20">
        <f>E20/D20</f>
        <v>0.14777070063694267</v>
      </c>
      <c r="H20">
        <f>F20/D20</f>
        <v>0.11592356687898089</v>
      </c>
      <c r="I20">
        <f>G20-control!F3</f>
        <v>-4.0932765345085581E-2</v>
      </c>
      <c r="J20">
        <f>H20-control!G3</f>
        <v>2.6064773554205542E-2</v>
      </c>
    </row>
    <row r="21" spans="1:10" x14ac:dyDescent="0.35">
      <c r="A21" s="12" t="s">
        <v>45</v>
      </c>
      <c r="B21" s="12" t="str">
        <f>LEFT(A21,3)</f>
        <v>Fri</v>
      </c>
      <c r="C21" s="13">
        <v>8715</v>
      </c>
      <c r="D21" s="13">
        <v>722</v>
      </c>
      <c r="E21" s="13">
        <v>182</v>
      </c>
      <c r="F21" s="13">
        <v>123</v>
      </c>
      <c r="G21">
        <f>E21/D21</f>
        <v>0.25207756232686979</v>
      </c>
      <c r="H21">
        <f>F21/D21</f>
        <v>0.17036011080332411</v>
      </c>
      <c r="I21">
        <f>G21-control!F22</f>
        <v>5.6186388141219179E-3</v>
      </c>
      <c r="J21">
        <f>H21-control!G22</f>
        <v>2.7300620718338275E-2</v>
      </c>
    </row>
    <row r="22" spans="1:10" x14ac:dyDescent="0.35">
      <c r="A22" s="12" t="s">
        <v>29</v>
      </c>
      <c r="B22" s="12" t="str">
        <f>LEFT(A22,3)</f>
        <v>Wed</v>
      </c>
      <c r="C22" s="13">
        <v>9793</v>
      </c>
      <c r="D22" s="13">
        <v>832</v>
      </c>
      <c r="E22" s="13">
        <v>140</v>
      </c>
      <c r="F22" s="13">
        <v>94</v>
      </c>
      <c r="G22">
        <f>E22/D22</f>
        <v>0.16826923076923078</v>
      </c>
      <c r="H22">
        <f>F22/D22</f>
        <v>0.11298076923076923</v>
      </c>
      <c r="I22">
        <f>G22-control!F6</f>
        <v>-2.64738994577704E-2</v>
      </c>
      <c r="J22">
        <f>H22-control!G6</f>
        <v>3.651720889624116E-2</v>
      </c>
    </row>
    <row r="23" spans="1:10" x14ac:dyDescent="0.35">
      <c r="A23" s="12" t="s">
        <v>42</v>
      </c>
      <c r="B23" s="12" t="str">
        <f>LEFT(A23,3)</f>
        <v>Tue</v>
      </c>
      <c r="C23" s="13">
        <v>9396</v>
      </c>
      <c r="D23" s="13">
        <v>736</v>
      </c>
      <c r="E23" s="13">
        <v>162</v>
      </c>
      <c r="F23" s="13">
        <v>120</v>
      </c>
      <c r="G23">
        <f>E23/D23</f>
        <v>0.22010869565217392</v>
      </c>
      <c r="H23">
        <f>F23/D23</f>
        <v>0.16304347826086957</v>
      </c>
      <c r="I23">
        <f>G23-control!F19</f>
        <v>1.0869565217391297E-2</v>
      </c>
      <c r="J23">
        <f>H23-control!G19</f>
        <v>3.9402173913043487E-2</v>
      </c>
    </row>
    <row r="24" spans="1:10" x14ac:dyDescent="0.35">
      <c r="A24" s="12" t="s">
        <v>47</v>
      </c>
      <c r="B24" s="12" t="str">
        <f>LEFT(A24,3)</f>
        <v>Sun</v>
      </c>
      <c r="C24" s="13">
        <v>8836</v>
      </c>
      <c r="D24" s="13">
        <v>724</v>
      </c>
      <c r="E24" s="13">
        <v>182</v>
      </c>
      <c r="F24" s="13">
        <v>103</v>
      </c>
      <c r="G24">
        <f>E24/D24</f>
        <v>0.25138121546961328</v>
      </c>
      <c r="H24">
        <f>F24/D24</f>
        <v>0.14226519337016574</v>
      </c>
      <c r="I24">
        <f>G24-control!F24</f>
        <v>-4.5877081788683993E-2</v>
      </c>
      <c r="J24">
        <f>H24-control!G24</f>
        <v>4.5584096689069056E-2</v>
      </c>
    </row>
    <row r="25" spans="1:10" x14ac:dyDescent="0.35">
      <c r="A25" s="12" t="s">
        <v>48</v>
      </c>
      <c r="B25" s="12" t="str">
        <f t="shared" ref="B3:B38" si="0">LEFT(A25,3)</f>
        <v>Mon</v>
      </c>
      <c r="C25" s="13">
        <v>9359</v>
      </c>
      <c r="D25" s="13">
        <v>789</v>
      </c>
      <c r="E25" s="14"/>
      <c r="F25" s="14"/>
    </row>
    <row r="26" spans="1:10" x14ac:dyDescent="0.35">
      <c r="A26" s="12" t="s">
        <v>49</v>
      </c>
      <c r="B26" s="12" t="str">
        <f t="shared" si="0"/>
        <v>Tue</v>
      </c>
      <c r="C26" s="13">
        <v>9427</v>
      </c>
      <c r="D26" s="13">
        <v>743</v>
      </c>
      <c r="E26" s="14"/>
      <c r="F26" s="14"/>
    </row>
    <row r="27" spans="1:10" x14ac:dyDescent="0.35">
      <c r="A27" s="12" t="s">
        <v>50</v>
      </c>
      <c r="B27" s="12" t="str">
        <f t="shared" si="0"/>
        <v>Wed</v>
      </c>
      <c r="C27" s="13">
        <v>9633</v>
      </c>
      <c r="D27" s="13">
        <v>808</v>
      </c>
      <c r="E27" s="14"/>
      <c r="F27" s="14"/>
    </row>
    <row r="28" spans="1:10" x14ac:dyDescent="0.35">
      <c r="A28" s="12" t="s">
        <v>51</v>
      </c>
      <c r="B28" s="12" t="str">
        <f t="shared" si="0"/>
        <v>Thu</v>
      </c>
      <c r="C28" s="13">
        <v>9842</v>
      </c>
      <c r="D28" s="13">
        <v>831</v>
      </c>
      <c r="E28" s="14"/>
      <c r="F28" s="14"/>
    </row>
    <row r="29" spans="1:10" x14ac:dyDescent="0.35">
      <c r="A29" s="12" t="s">
        <v>52</v>
      </c>
      <c r="B29" s="12" t="str">
        <f t="shared" si="0"/>
        <v>Fri</v>
      </c>
      <c r="C29" s="13">
        <v>9272</v>
      </c>
      <c r="D29" s="13">
        <v>767</v>
      </c>
      <c r="E29" s="14"/>
      <c r="F29" s="14"/>
    </row>
    <row r="30" spans="1:10" x14ac:dyDescent="0.35">
      <c r="A30" s="12" t="s">
        <v>53</v>
      </c>
      <c r="B30" s="12" t="str">
        <f t="shared" si="0"/>
        <v>Sat</v>
      </c>
      <c r="C30" s="13">
        <v>8969</v>
      </c>
      <c r="D30" s="13">
        <v>760</v>
      </c>
      <c r="E30" s="14"/>
      <c r="F30" s="14"/>
    </row>
    <row r="31" spans="1:10" x14ac:dyDescent="0.35">
      <c r="A31" s="12" t="s">
        <v>54</v>
      </c>
      <c r="B31" s="12" t="str">
        <f t="shared" si="0"/>
        <v>Sun</v>
      </c>
      <c r="C31" s="13">
        <v>9697</v>
      </c>
      <c r="D31" s="13">
        <v>850</v>
      </c>
      <c r="E31" s="14"/>
      <c r="F31" s="14"/>
    </row>
    <row r="32" spans="1:10" x14ac:dyDescent="0.35">
      <c r="A32" s="12" t="s">
        <v>55</v>
      </c>
      <c r="B32" s="12" t="str">
        <f t="shared" si="0"/>
        <v>Mon</v>
      </c>
      <c r="C32" s="13">
        <v>10445</v>
      </c>
      <c r="D32" s="13">
        <v>851</v>
      </c>
      <c r="E32" s="14"/>
      <c r="F32" s="14"/>
    </row>
    <row r="33" spans="1:6" x14ac:dyDescent="0.35">
      <c r="A33" s="12" t="s">
        <v>56</v>
      </c>
      <c r="B33" s="12" t="str">
        <f t="shared" si="0"/>
        <v>Tue</v>
      </c>
      <c r="C33" s="13">
        <v>9931</v>
      </c>
      <c r="D33" s="13">
        <v>831</v>
      </c>
      <c r="E33" s="14"/>
      <c r="F33" s="14"/>
    </row>
    <row r="34" spans="1:6" x14ac:dyDescent="0.35">
      <c r="A34" s="12" t="s">
        <v>57</v>
      </c>
      <c r="B34" s="12" t="str">
        <f t="shared" si="0"/>
        <v>Wed</v>
      </c>
      <c r="C34" s="13">
        <v>10042</v>
      </c>
      <c r="D34" s="13">
        <v>802</v>
      </c>
      <c r="E34" s="14"/>
      <c r="F34" s="14"/>
    </row>
    <row r="35" spans="1:6" x14ac:dyDescent="0.35">
      <c r="A35" s="12" t="s">
        <v>58</v>
      </c>
      <c r="B35" s="12" t="str">
        <f t="shared" si="0"/>
        <v>Thu</v>
      </c>
      <c r="C35" s="13">
        <v>9721</v>
      </c>
      <c r="D35" s="13">
        <v>829</v>
      </c>
      <c r="E35" s="14"/>
      <c r="F35" s="14"/>
    </row>
    <row r="36" spans="1:6" x14ac:dyDescent="0.35">
      <c r="A36" s="12" t="s">
        <v>59</v>
      </c>
      <c r="B36" s="12" t="str">
        <f t="shared" si="0"/>
        <v>Fri</v>
      </c>
      <c r="C36" s="13">
        <v>9304</v>
      </c>
      <c r="D36" s="13">
        <v>770</v>
      </c>
      <c r="E36" s="14"/>
      <c r="F36" s="14"/>
    </row>
    <row r="37" spans="1:6" x14ac:dyDescent="0.35">
      <c r="A37" s="12" t="s">
        <v>60</v>
      </c>
      <c r="B37" s="12" t="str">
        <f t="shared" si="0"/>
        <v>Sat</v>
      </c>
      <c r="C37" s="13">
        <v>8668</v>
      </c>
      <c r="D37" s="13">
        <v>724</v>
      </c>
      <c r="E37" s="14"/>
      <c r="F37" s="14"/>
    </row>
    <row r="38" spans="1:6" x14ac:dyDescent="0.35">
      <c r="A38" s="12" t="s">
        <v>61</v>
      </c>
      <c r="B38" s="12" t="str">
        <f t="shared" si="0"/>
        <v>Sun</v>
      </c>
      <c r="C38" s="13">
        <v>8988</v>
      </c>
      <c r="D38" s="13">
        <v>710</v>
      </c>
      <c r="E38" s="14"/>
      <c r="F38" s="14"/>
    </row>
    <row r="39" spans="1:6" x14ac:dyDescent="0.35">
      <c r="C39">
        <f>SUM(C2:C38)</f>
        <v>344660</v>
      </c>
      <c r="D39">
        <f>SUM(D2:D38)</f>
        <v>28325</v>
      </c>
      <c r="E39">
        <f>SUM(E2:E38)</f>
        <v>3423</v>
      </c>
      <c r="F39">
        <f>SUM(F2:F38)</f>
        <v>1945</v>
      </c>
    </row>
    <row r="41" spans="1:6" x14ac:dyDescent="0.35">
      <c r="A41" s="12" t="s">
        <v>63</v>
      </c>
      <c r="B41" s="12"/>
      <c r="C41" s="15">
        <f>D39/C39</f>
        <v>8.2182440666163759E-2</v>
      </c>
      <c r="D41">
        <f>E39/D39</f>
        <v>0.12084730803177406</v>
      </c>
    </row>
  </sheetData>
  <sortState ref="A2:J24">
    <sortCondition ref="J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defaultRowHeight="12.75" x14ac:dyDescent="0.35"/>
  <sheetData>
    <row r="1" spans="1:1" x14ac:dyDescent="0.35">
      <c r="A1" t="s">
        <v>14</v>
      </c>
    </row>
    <row r="2" spans="1:1" x14ac:dyDescent="0.35">
      <c r="A2" s="7" t="s">
        <v>15</v>
      </c>
    </row>
    <row r="3" spans="1:1" x14ac:dyDescent="0.35">
      <c r="A3" t="s">
        <v>77</v>
      </c>
    </row>
  </sheetData>
  <hyperlinks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baseline</vt:lpstr>
      <vt:lpstr>control</vt:lpstr>
      <vt:lpstr>Sheet5</vt:lpstr>
      <vt:lpstr>Sheet3</vt:lpstr>
      <vt:lpstr>combo cont+exp</vt:lpstr>
      <vt:lpstr>Sheet1</vt:lpstr>
      <vt:lpstr>experiment</vt:lpstr>
      <vt:lpstr>Reference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jbark1967</cp:lastModifiedBy>
  <dcterms:modified xsi:type="dcterms:W3CDTF">2016-05-07T02:44:46Z</dcterms:modified>
</cp:coreProperties>
</file>