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halmers-my.sharepoint.com/personal/giotiz_chalmers_se/Documents/Desktop/"/>
    </mc:Choice>
  </mc:AlternateContent>
  <xr:revisionPtr revIDLastSave="253" documentId="8_{BD25686C-7DCD-4CDB-93A1-F0233359E560}" xr6:coauthVersionLast="47" xr6:coauthVersionMax="47" xr10:uidLastSave="{B5460E3A-DD47-407E-8C76-8FC0F233E671}"/>
  <bookViews>
    <workbookView xWindow="28692" yWindow="-5664" windowWidth="38616" windowHeight="21216" firstSheet="4" activeTab="7" xr2:uid="{00000000-000D-0000-FFFF-FFFF00000000}"/>
  </bookViews>
  <sheets>
    <sheet name="pH7 &amp; I.S. 0" sheetId="3" r:id="rId1"/>
    <sheet name="pH7 &amp; I.S. S" sheetId="5" r:id="rId2"/>
    <sheet name="pH7 &amp; I.S. I" sheetId="6" r:id="rId3"/>
    <sheet name="pH3 &amp; I.S. S" sheetId="1" r:id="rId4"/>
    <sheet name="pH3 &amp; I.S. I" sheetId="2" r:id="rId5"/>
    <sheet name="pH3 &amp; I.S. 0" sheetId="4" r:id="rId6"/>
    <sheet name="pH3 &amp; I.S. S &amp; with pepsin" sheetId="7" r:id="rId7"/>
    <sheet name="TOT" sheetId="8" r:id="rId8"/>
  </sheets>
  <definedNames>
    <definedName name="_xlchart.v1.0" hidden="1">TOT!$A$3:$A$7</definedName>
    <definedName name="_xlchart.v1.1" hidden="1">TOT!$B$3:$B$7</definedName>
    <definedName name="_xlchart.v1.10" hidden="1">TOT!$V$3:$V$7</definedName>
    <definedName name="_xlchart.v1.11" hidden="1">TOT!$Y$3:$Y$7</definedName>
    <definedName name="_xlchart.v1.12" hidden="1">TOT!$Z$3:$Z$7</definedName>
    <definedName name="_xlchart.v1.2" hidden="1">TOT!$E$3:$E$7</definedName>
    <definedName name="_xlchart.v1.3" hidden="1">TOT!$F$3:$F$7</definedName>
    <definedName name="_xlchart.v1.4" hidden="1">TOT!$I$3:$I$7</definedName>
    <definedName name="_xlchart.v1.5" hidden="1">TOT!$J$3:$J$7</definedName>
    <definedName name="_xlchart.v1.6" hidden="1">TOT!$M$3:$M$7</definedName>
    <definedName name="_xlchart.v1.7" hidden="1">TOT!$N$3:$N$7</definedName>
    <definedName name="_xlchart.v1.8" hidden="1">TOT!$Q$3:$Q$7</definedName>
    <definedName name="_xlchart.v1.9" hidden="1">TOT!$R$3:$R$7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8" l="1"/>
  <c r="Z5" i="8" s="1"/>
  <c r="Z6" i="8" s="1"/>
  <c r="Z7" i="8" s="1"/>
  <c r="V4" i="8"/>
  <c r="V5" i="8" s="1"/>
  <c r="V6" i="8" s="1"/>
  <c r="V7" i="8" s="1"/>
  <c r="R4" i="8"/>
  <c r="R5" i="8" s="1"/>
  <c r="R6" i="8" s="1"/>
  <c r="R7" i="8" s="1"/>
  <c r="N4" i="8"/>
  <c r="N5" i="8" s="1"/>
  <c r="N6" i="8" s="1"/>
  <c r="N7" i="8" s="1"/>
  <c r="J4" i="8"/>
  <c r="J5" i="8" s="1"/>
  <c r="J6" i="8" s="1"/>
  <c r="J7" i="8" s="1"/>
  <c r="F4" i="8"/>
  <c r="F5" i="8" s="1"/>
  <c r="F6" i="8" s="1"/>
  <c r="F7" i="8" s="1"/>
  <c r="B5" i="8"/>
  <c r="B6" i="8" s="1"/>
  <c r="B7" i="8" s="1"/>
  <c r="B4" i="8"/>
  <c r="Z17" i="6"/>
  <c r="AB16" i="6"/>
  <c r="Z16" i="6"/>
  <c r="Z15" i="6"/>
  <c r="AA16" i="6" s="1"/>
  <c r="Z14" i="6"/>
  <c r="AB13" i="6"/>
  <c r="AA13" i="6"/>
  <c r="Z13" i="6"/>
  <c r="Z12" i="6"/>
  <c r="Z11" i="6"/>
  <c r="Z10" i="6"/>
  <c r="Z9" i="6"/>
  <c r="AB10" i="6" s="1"/>
  <c r="Z8" i="6"/>
  <c r="AB7" i="6" s="1"/>
  <c r="Z7" i="6"/>
  <c r="Z6" i="6"/>
  <c r="Z5" i="6"/>
  <c r="Z4" i="6"/>
  <c r="AA4" i="6" s="1"/>
  <c r="Z3" i="6"/>
  <c r="AB4" i="6" s="1"/>
  <c r="Z17" i="7"/>
  <c r="Z16" i="7"/>
  <c r="Z15" i="7"/>
  <c r="AB16" i="7" s="1"/>
  <c r="Z14" i="7"/>
  <c r="AA13" i="7"/>
  <c r="Z13" i="7"/>
  <c r="Z12" i="7"/>
  <c r="AB13" i="7" s="1"/>
  <c r="Z11" i="7"/>
  <c r="AA10" i="7"/>
  <c r="Z10" i="7"/>
  <c r="Z9" i="7"/>
  <c r="AB10" i="7" s="1"/>
  <c r="Z8" i="7"/>
  <c r="Z7" i="7"/>
  <c r="Z6" i="7"/>
  <c r="AB7" i="7" s="1"/>
  <c r="Z5" i="7"/>
  <c r="Z4" i="7"/>
  <c r="Z3" i="7"/>
  <c r="AB4" i="7" s="1"/>
  <c r="Z17" i="4"/>
  <c r="Z16" i="4"/>
  <c r="Z15" i="4"/>
  <c r="AB16" i="4" s="1"/>
  <c r="Z14" i="4"/>
  <c r="AB13" i="4"/>
  <c r="AA13" i="4"/>
  <c r="Z13" i="4"/>
  <c r="Z12" i="4"/>
  <c r="Z11" i="4"/>
  <c r="Z10" i="4"/>
  <c r="Z9" i="4"/>
  <c r="AB10" i="4" s="1"/>
  <c r="Z8" i="4"/>
  <c r="AB7" i="4" s="1"/>
  <c r="Z7" i="4"/>
  <c r="Z6" i="4"/>
  <c r="Z5" i="4"/>
  <c r="Z4" i="4"/>
  <c r="AA4" i="4" s="1"/>
  <c r="Z3" i="4"/>
  <c r="AB4" i="4" s="1"/>
  <c r="Z17" i="2"/>
  <c r="Z16" i="2"/>
  <c r="Z15" i="2"/>
  <c r="AB16" i="2" s="1"/>
  <c r="Z14" i="2"/>
  <c r="AB13" i="2"/>
  <c r="Z13" i="2"/>
  <c r="Z12" i="2"/>
  <c r="AA13" i="2" s="1"/>
  <c r="Z11" i="2"/>
  <c r="Z10" i="2"/>
  <c r="Z9" i="2"/>
  <c r="AB10" i="2" s="1"/>
  <c r="Z8" i="2"/>
  <c r="AB7" i="2"/>
  <c r="Z7" i="2"/>
  <c r="Z6" i="2"/>
  <c r="AA7" i="2" s="1"/>
  <c r="Z5" i="2"/>
  <c r="AA4" i="2"/>
  <c r="Z4" i="2"/>
  <c r="Z3" i="2"/>
  <c r="AB4" i="2" s="1"/>
  <c r="Z17" i="1"/>
  <c r="AB16" i="1"/>
  <c r="Z16" i="1"/>
  <c r="Z15" i="1"/>
  <c r="AA16" i="1" s="1"/>
  <c r="Z14" i="1"/>
  <c r="AB13" i="1"/>
  <c r="AA13" i="1"/>
  <c r="Z13" i="1"/>
  <c r="Z12" i="1"/>
  <c r="Z11" i="1"/>
  <c r="AB10" i="1"/>
  <c r="Z10" i="1"/>
  <c r="Z9" i="1"/>
  <c r="AA10" i="1" s="1"/>
  <c r="Z8" i="1"/>
  <c r="Z7" i="1"/>
  <c r="Z6" i="1"/>
  <c r="AB7" i="1" s="1"/>
  <c r="Z5" i="1"/>
  <c r="Z4" i="1"/>
  <c r="AA4" i="1" s="1"/>
  <c r="Z3" i="1"/>
  <c r="AB4" i="1" s="1"/>
  <c r="AB16" i="5"/>
  <c r="AA16" i="5"/>
  <c r="Z17" i="5"/>
  <c r="Z16" i="5"/>
  <c r="Z15" i="5"/>
  <c r="Z14" i="5"/>
  <c r="AB13" i="5"/>
  <c r="AA13" i="5"/>
  <c r="Z13" i="5"/>
  <c r="Z12" i="5"/>
  <c r="Z11" i="5"/>
  <c r="Z10" i="5"/>
  <c r="Z9" i="5"/>
  <c r="AA10" i="5" s="1"/>
  <c r="Z8" i="5"/>
  <c r="AA7" i="5" s="1"/>
  <c r="Z7" i="5"/>
  <c r="Z6" i="5"/>
  <c r="AB7" i="5" s="1"/>
  <c r="Z5" i="5"/>
  <c r="Z4" i="5"/>
  <c r="AA4" i="5" s="1"/>
  <c r="Z3" i="5"/>
  <c r="AB4" i="5" s="1"/>
  <c r="AB16" i="3"/>
  <c r="AB7" i="3"/>
  <c r="AB10" i="3"/>
  <c r="AB13" i="3"/>
  <c r="AB4" i="3"/>
  <c r="AA16" i="3"/>
  <c r="AA7" i="3"/>
  <c r="AA10" i="3"/>
  <c r="AA13" i="3"/>
  <c r="AA4" i="3"/>
  <c r="Z4" i="3"/>
  <c r="Z5" i="3"/>
  <c r="Z3" i="3"/>
  <c r="Z17" i="3"/>
  <c r="Z6" i="3"/>
  <c r="Z7" i="3"/>
  <c r="Z8" i="3"/>
  <c r="Z9" i="3"/>
  <c r="Z10" i="3"/>
  <c r="Z11" i="3"/>
  <c r="Z12" i="3"/>
  <c r="Z13" i="3"/>
  <c r="Z14" i="3"/>
  <c r="Z15" i="3"/>
  <c r="Z16" i="3"/>
  <c r="E14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5" i="6"/>
  <c r="C4" i="6"/>
  <c r="C3" i="6"/>
  <c r="C8" i="6"/>
  <c r="C7" i="6"/>
  <c r="C6" i="6"/>
  <c r="C11" i="6"/>
  <c r="C10" i="6"/>
  <c r="C9" i="6"/>
  <c r="C14" i="6"/>
  <c r="C13" i="6"/>
  <c r="C12" i="6"/>
  <c r="C17" i="6"/>
  <c r="C16" i="6"/>
  <c r="C15" i="6"/>
  <c r="U15" i="7"/>
  <c r="V15" i="7" s="1"/>
  <c r="Q15" i="7"/>
  <c r="F15" i="7"/>
  <c r="U14" i="7"/>
  <c r="Q14" i="7"/>
  <c r="S14" i="7" s="1"/>
  <c r="U13" i="7"/>
  <c r="Q13" i="7"/>
  <c r="S13" i="7" s="1"/>
  <c r="U12" i="7"/>
  <c r="V12" i="7" s="1"/>
  <c r="Q12" i="7"/>
  <c r="F12" i="7"/>
  <c r="U11" i="7"/>
  <c r="Q11" i="7"/>
  <c r="S11" i="7" s="1"/>
  <c r="U10" i="7"/>
  <c r="Q10" i="7"/>
  <c r="S10" i="7" s="1"/>
  <c r="U9" i="7"/>
  <c r="V9" i="7" s="1"/>
  <c r="Q9" i="7"/>
  <c r="F9" i="7"/>
  <c r="U8" i="7"/>
  <c r="Q8" i="7"/>
  <c r="S8" i="7" s="1"/>
  <c r="U7" i="7"/>
  <c r="Q7" i="7"/>
  <c r="S7" i="7" s="1"/>
  <c r="U6" i="7"/>
  <c r="V6" i="7" s="1"/>
  <c r="Q6" i="7"/>
  <c r="F6" i="7"/>
  <c r="F3" i="7"/>
  <c r="U17" i="6"/>
  <c r="Q17" i="6"/>
  <c r="S17" i="6" s="1"/>
  <c r="U16" i="6"/>
  <c r="Q16" i="6"/>
  <c r="S16" i="6" s="1"/>
  <c r="U15" i="6"/>
  <c r="V15" i="6" s="1"/>
  <c r="Q15" i="6"/>
  <c r="F15" i="6"/>
  <c r="U14" i="6"/>
  <c r="Q14" i="6"/>
  <c r="S14" i="6" s="1"/>
  <c r="U13" i="6"/>
  <c r="Q13" i="6"/>
  <c r="S13" i="6" s="1"/>
  <c r="U12" i="6"/>
  <c r="V12" i="6" s="1"/>
  <c r="Q12" i="6"/>
  <c r="F12" i="6"/>
  <c r="U11" i="6"/>
  <c r="Q11" i="6"/>
  <c r="S11" i="6" s="1"/>
  <c r="U10" i="6"/>
  <c r="Q10" i="6"/>
  <c r="S10" i="6" s="1"/>
  <c r="U9" i="6"/>
  <c r="V9" i="6" s="1"/>
  <c r="Q9" i="6"/>
  <c r="F9" i="6"/>
  <c r="U8" i="6"/>
  <c r="Q8" i="6"/>
  <c r="S8" i="6" s="1"/>
  <c r="U7" i="6"/>
  <c r="Q7" i="6"/>
  <c r="S7" i="6" s="1"/>
  <c r="U6" i="6"/>
  <c r="V6" i="6" s="1"/>
  <c r="Q6" i="6"/>
  <c r="F6" i="6"/>
  <c r="F3" i="6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U17" i="5"/>
  <c r="Q17" i="5"/>
  <c r="S17" i="5" s="1"/>
  <c r="U16" i="5"/>
  <c r="Q16" i="5"/>
  <c r="S16" i="5" s="1"/>
  <c r="U15" i="5"/>
  <c r="V15" i="5" s="1"/>
  <c r="Q15" i="5"/>
  <c r="F15" i="5"/>
  <c r="U14" i="5"/>
  <c r="Q14" i="5"/>
  <c r="S14" i="5" s="1"/>
  <c r="U13" i="5"/>
  <c r="Q13" i="5"/>
  <c r="S13" i="5" s="1"/>
  <c r="U12" i="5"/>
  <c r="V12" i="5" s="1"/>
  <c r="Q12" i="5"/>
  <c r="F12" i="5"/>
  <c r="U11" i="5"/>
  <c r="Q11" i="5"/>
  <c r="S11" i="5" s="1"/>
  <c r="U10" i="5"/>
  <c r="Q10" i="5"/>
  <c r="S10" i="5" s="1"/>
  <c r="U9" i="5"/>
  <c r="V9" i="5" s="1"/>
  <c r="Q9" i="5"/>
  <c r="F9" i="5"/>
  <c r="U8" i="5"/>
  <c r="Q8" i="5"/>
  <c r="S8" i="5" s="1"/>
  <c r="U7" i="5"/>
  <c r="Q7" i="5"/>
  <c r="S7" i="5" s="1"/>
  <c r="U6" i="5"/>
  <c r="V6" i="5" s="1"/>
  <c r="Q6" i="5"/>
  <c r="F6" i="5"/>
  <c r="F3" i="5"/>
  <c r="U17" i="4"/>
  <c r="Q17" i="4"/>
  <c r="S17" i="4" s="1"/>
  <c r="U16" i="4"/>
  <c r="Q16" i="4"/>
  <c r="S16" i="4" s="1"/>
  <c r="U15" i="4"/>
  <c r="V15" i="4" s="1"/>
  <c r="Q15" i="4"/>
  <c r="F15" i="4"/>
  <c r="U14" i="4"/>
  <c r="Q14" i="4"/>
  <c r="S14" i="4" s="1"/>
  <c r="U13" i="4"/>
  <c r="Q13" i="4"/>
  <c r="S13" i="4" s="1"/>
  <c r="U12" i="4"/>
  <c r="V12" i="4" s="1"/>
  <c r="Q12" i="4"/>
  <c r="F12" i="4"/>
  <c r="U11" i="4"/>
  <c r="Q11" i="4"/>
  <c r="S11" i="4" s="1"/>
  <c r="U10" i="4"/>
  <c r="Q10" i="4"/>
  <c r="S10" i="4" s="1"/>
  <c r="U9" i="4"/>
  <c r="V9" i="4" s="1"/>
  <c r="Q9" i="4"/>
  <c r="F9" i="4"/>
  <c r="U8" i="4"/>
  <c r="Q8" i="4"/>
  <c r="S8" i="4" s="1"/>
  <c r="U7" i="4"/>
  <c r="Q7" i="4"/>
  <c r="S7" i="4" s="1"/>
  <c r="U6" i="4"/>
  <c r="V6" i="4" s="1"/>
  <c r="Q6" i="4"/>
  <c r="F6" i="4"/>
  <c r="F3" i="4"/>
  <c r="P15" i="3"/>
  <c r="N15" i="3"/>
  <c r="K17" i="3"/>
  <c r="I17" i="3"/>
  <c r="G17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U16" i="3"/>
  <c r="Q16" i="3"/>
  <c r="S16" i="3" s="1"/>
  <c r="U15" i="3"/>
  <c r="V15" i="3" s="1"/>
  <c r="Q15" i="3"/>
  <c r="F15" i="3"/>
  <c r="U14" i="3"/>
  <c r="Q14" i="3"/>
  <c r="S14" i="3" s="1"/>
  <c r="U13" i="3"/>
  <c r="Q13" i="3"/>
  <c r="S13" i="3" s="1"/>
  <c r="U12" i="3"/>
  <c r="V12" i="3" s="1"/>
  <c r="Q12" i="3"/>
  <c r="F12" i="3"/>
  <c r="U11" i="3"/>
  <c r="Q11" i="3"/>
  <c r="S11" i="3" s="1"/>
  <c r="U10" i="3"/>
  <c r="Q10" i="3"/>
  <c r="S10" i="3" s="1"/>
  <c r="U9" i="3"/>
  <c r="V9" i="3" s="1"/>
  <c r="Q9" i="3"/>
  <c r="F9" i="3"/>
  <c r="U8" i="3"/>
  <c r="Q8" i="3"/>
  <c r="S8" i="3" s="1"/>
  <c r="U7" i="3"/>
  <c r="Q7" i="3"/>
  <c r="S7" i="3" s="1"/>
  <c r="U6" i="3"/>
  <c r="V6" i="3" s="1"/>
  <c r="Q6" i="3"/>
  <c r="F6" i="3"/>
  <c r="F3" i="3"/>
  <c r="U17" i="2"/>
  <c r="Q17" i="2"/>
  <c r="S17" i="2" s="1"/>
  <c r="U16" i="2"/>
  <c r="Q16" i="2"/>
  <c r="S16" i="2" s="1"/>
  <c r="U15" i="2"/>
  <c r="V15" i="2" s="1"/>
  <c r="Q15" i="2"/>
  <c r="F15" i="2"/>
  <c r="U14" i="2"/>
  <c r="Q14" i="2"/>
  <c r="S14" i="2" s="1"/>
  <c r="U13" i="2"/>
  <c r="Q13" i="2"/>
  <c r="S13" i="2" s="1"/>
  <c r="U12" i="2"/>
  <c r="V12" i="2" s="1"/>
  <c r="Q12" i="2"/>
  <c r="F12" i="2"/>
  <c r="U11" i="2"/>
  <c r="Q11" i="2"/>
  <c r="S11" i="2" s="1"/>
  <c r="U10" i="2"/>
  <c r="Q10" i="2"/>
  <c r="S10" i="2" s="1"/>
  <c r="U9" i="2"/>
  <c r="V9" i="2" s="1"/>
  <c r="Q9" i="2"/>
  <c r="F9" i="2"/>
  <c r="U8" i="2"/>
  <c r="Q8" i="2"/>
  <c r="S8" i="2" s="1"/>
  <c r="U7" i="2"/>
  <c r="Q7" i="2"/>
  <c r="S7" i="2" s="1"/>
  <c r="U6" i="2"/>
  <c r="V6" i="2" s="1"/>
  <c r="Q6" i="2"/>
  <c r="F6" i="2"/>
  <c r="F3" i="2"/>
  <c r="F9" i="1"/>
  <c r="U16" i="1"/>
  <c r="W6" i="1"/>
  <c r="U13" i="1"/>
  <c r="U10" i="1"/>
  <c r="U7" i="1"/>
  <c r="S16" i="1"/>
  <c r="S13" i="1"/>
  <c r="S10" i="1"/>
  <c r="S7" i="1"/>
  <c r="Q16" i="1"/>
  <c r="Q13" i="1"/>
  <c r="Q10" i="1"/>
  <c r="Q7" i="1"/>
  <c r="M16" i="1"/>
  <c r="O16" i="1" s="1"/>
  <c r="M13" i="1"/>
  <c r="O13" i="1" s="1"/>
  <c r="M10" i="1"/>
  <c r="O10" i="1" s="1"/>
  <c r="M7" i="1"/>
  <c r="O7" i="1" s="1"/>
  <c r="G3" i="1"/>
  <c r="G4" i="1"/>
  <c r="G5" i="1"/>
  <c r="G6" i="1"/>
  <c r="G7" i="1"/>
  <c r="G8" i="1"/>
  <c r="G9" i="1"/>
  <c r="G10" i="1"/>
  <c r="G11" i="1"/>
  <c r="G17" i="1"/>
  <c r="G16" i="1"/>
  <c r="G15" i="1"/>
  <c r="G14" i="1"/>
  <c r="G13" i="1"/>
  <c r="I16" i="1"/>
  <c r="K16" i="1" s="1"/>
  <c r="I13" i="1"/>
  <c r="K13" i="1" s="1"/>
  <c r="I10" i="1"/>
  <c r="K10" i="1" s="1"/>
  <c r="I7" i="1"/>
  <c r="K7" i="1" s="1"/>
  <c r="I3" i="1"/>
  <c r="K3" i="1" s="1"/>
  <c r="F6" i="1"/>
  <c r="M14" i="1"/>
  <c r="M12" i="1"/>
  <c r="U17" i="1"/>
  <c r="Q17" i="1"/>
  <c r="S17" i="1" s="1"/>
  <c r="M17" i="1"/>
  <c r="O17" i="1" s="1"/>
  <c r="I17" i="1"/>
  <c r="K17" i="1" s="1"/>
  <c r="U15" i="1"/>
  <c r="V15" i="1" s="1"/>
  <c r="Q15" i="1"/>
  <c r="M15" i="1"/>
  <c r="I15" i="1"/>
  <c r="J15" i="1" s="1"/>
  <c r="H15" i="1"/>
  <c r="F15" i="1"/>
  <c r="U14" i="1"/>
  <c r="Q14" i="1"/>
  <c r="S14" i="1" s="1"/>
  <c r="O14" i="1"/>
  <c r="I14" i="1"/>
  <c r="K14" i="1" s="1"/>
  <c r="U12" i="1"/>
  <c r="V12" i="1" s="1"/>
  <c r="Q12" i="1"/>
  <c r="I12" i="1"/>
  <c r="G12" i="1"/>
  <c r="H12" i="1" s="1"/>
  <c r="F12" i="1"/>
  <c r="U11" i="1"/>
  <c r="Q11" i="1"/>
  <c r="S11" i="1" s="1"/>
  <c r="M11" i="1"/>
  <c r="O11" i="1" s="1"/>
  <c r="I11" i="1"/>
  <c r="K11" i="1" s="1"/>
  <c r="U9" i="1"/>
  <c r="V9" i="1" s="1"/>
  <c r="Q9" i="1"/>
  <c r="M9" i="1"/>
  <c r="I9" i="1"/>
  <c r="H9" i="1"/>
  <c r="U8" i="1"/>
  <c r="Q8" i="1"/>
  <c r="S8" i="1" s="1"/>
  <c r="M8" i="1"/>
  <c r="O8" i="1" s="1"/>
  <c r="I8" i="1"/>
  <c r="K8" i="1" s="1"/>
  <c r="U6" i="1"/>
  <c r="V6" i="1" s="1"/>
  <c r="Q6" i="1"/>
  <c r="M6" i="1"/>
  <c r="I6" i="1"/>
  <c r="H6" i="1"/>
  <c r="I5" i="1"/>
  <c r="K5" i="1" s="1"/>
  <c r="I4" i="1"/>
  <c r="K4" i="1" s="1"/>
  <c r="H3" i="1"/>
  <c r="F3" i="1"/>
  <c r="AA10" i="6" l="1"/>
  <c r="AA7" i="6"/>
  <c r="AA4" i="7"/>
  <c r="AA16" i="7"/>
  <c r="AA7" i="7"/>
  <c r="AA10" i="4"/>
  <c r="AA16" i="4"/>
  <c r="AA7" i="4"/>
  <c r="AA10" i="2"/>
  <c r="AA16" i="2"/>
  <c r="AA7" i="1"/>
  <c r="AB10" i="5"/>
  <c r="I3" i="7"/>
  <c r="G3" i="7"/>
  <c r="I4" i="7"/>
  <c r="K4" i="7" s="1"/>
  <c r="G4" i="7"/>
  <c r="I5" i="7"/>
  <c r="K5" i="7" s="1"/>
  <c r="G5" i="7"/>
  <c r="M6" i="7"/>
  <c r="I6" i="7"/>
  <c r="G6" i="7"/>
  <c r="W6" i="7"/>
  <c r="X6" i="7" s="1"/>
  <c r="S6" i="7"/>
  <c r="T6" i="7" s="1"/>
  <c r="R6" i="7"/>
  <c r="M7" i="7"/>
  <c r="O7" i="7" s="1"/>
  <c r="I7" i="7"/>
  <c r="K7" i="7" s="1"/>
  <c r="G7" i="7"/>
  <c r="M8" i="7"/>
  <c r="O8" i="7" s="1"/>
  <c r="I8" i="7"/>
  <c r="K8" i="7" s="1"/>
  <c r="G8" i="7"/>
  <c r="M9" i="7"/>
  <c r="I9" i="7"/>
  <c r="G9" i="7"/>
  <c r="W9" i="7"/>
  <c r="X9" i="7" s="1"/>
  <c r="S9" i="7"/>
  <c r="T9" i="7" s="1"/>
  <c r="R9" i="7"/>
  <c r="M10" i="7"/>
  <c r="O10" i="7" s="1"/>
  <c r="I10" i="7"/>
  <c r="K10" i="7" s="1"/>
  <c r="G10" i="7"/>
  <c r="M11" i="7"/>
  <c r="O11" i="7" s="1"/>
  <c r="I11" i="7"/>
  <c r="K11" i="7" s="1"/>
  <c r="G11" i="7"/>
  <c r="M12" i="7"/>
  <c r="I12" i="7"/>
  <c r="G12" i="7"/>
  <c r="W12" i="7"/>
  <c r="X12" i="7" s="1"/>
  <c r="S12" i="7"/>
  <c r="T12" i="7" s="1"/>
  <c r="R12" i="7"/>
  <c r="M13" i="7"/>
  <c r="O13" i="7" s="1"/>
  <c r="I13" i="7"/>
  <c r="K13" i="7" s="1"/>
  <c r="G13" i="7"/>
  <c r="M14" i="7"/>
  <c r="O14" i="7" s="1"/>
  <c r="I14" i="7"/>
  <c r="K14" i="7" s="1"/>
  <c r="G14" i="7"/>
  <c r="M15" i="7"/>
  <c r="I15" i="7"/>
  <c r="G15" i="7"/>
  <c r="W15" i="7"/>
  <c r="X15" i="7" s="1"/>
  <c r="S15" i="7"/>
  <c r="T15" i="7" s="1"/>
  <c r="R15" i="7"/>
  <c r="I3" i="6"/>
  <c r="G3" i="6"/>
  <c r="I4" i="6"/>
  <c r="K4" i="6" s="1"/>
  <c r="G4" i="6"/>
  <c r="I5" i="6"/>
  <c r="K5" i="6" s="1"/>
  <c r="G5" i="6"/>
  <c r="M6" i="6"/>
  <c r="I6" i="6"/>
  <c r="G6" i="6"/>
  <c r="W6" i="6"/>
  <c r="X6" i="6" s="1"/>
  <c r="S6" i="6"/>
  <c r="T6" i="6" s="1"/>
  <c r="R6" i="6"/>
  <c r="M7" i="6"/>
  <c r="O7" i="6" s="1"/>
  <c r="I7" i="6"/>
  <c r="K7" i="6" s="1"/>
  <c r="G7" i="6"/>
  <c r="M8" i="6"/>
  <c r="O8" i="6" s="1"/>
  <c r="I8" i="6"/>
  <c r="K8" i="6" s="1"/>
  <c r="G8" i="6"/>
  <c r="M9" i="6"/>
  <c r="I9" i="6"/>
  <c r="G9" i="6"/>
  <c r="W9" i="6"/>
  <c r="X9" i="6" s="1"/>
  <c r="S9" i="6"/>
  <c r="T9" i="6" s="1"/>
  <c r="R9" i="6"/>
  <c r="M10" i="6"/>
  <c r="O10" i="6" s="1"/>
  <c r="I10" i="6"/>
  <c r="K10" i="6" s="1"/>
  <c r="G10" i="6"/>
  <c r="M11" i="6"/>
  <c r="O11" i="6" s="1"/>
  <c r="I11" i="6"/>
  <c r="K11" i="6" s="1"/>
  <c r="G11" i="6"/>
  <c r="M12" i="6"/>
  <c r="I12" i="6"/>
  <c r="G12" i="6"/>
  <c r="W12" i="6"/>
  <c r="X12" i="6" s="1"/>
  <c r="S12" i="6"/>
  <c r="T12" i="6" s="1"/>
  <c r="R12" i="6"/>
  <c r="M13" i="6"/>
  <c r="O13" i="6" s="1"/>
  <c r="I13" i="6"/>
  <c r="K13" i="6" s="1"/>
  <c r="G13" i="6"/>
  <c r="M14" i="6"/>
  <c r="O14" i="6" s="1"/>
  <c r="I14" i="6"/>
  <c r="K14" i="6" s="1"/>
  <c r="G14" i="6"/>
  <c r="M15" i="6"/>
  <c r="I15" i="6"/>
  <c r="G15" i="6"/>
  <c r="W15" i="6"/>
  <c r="X15" i="6" s="1"/>
  <c r="S15" i="6"/>
  <c r="T15" i="6" s="1"/>
  <c r="R15" i="6"/>
  <c r="M16" i="6"/>
  <c r="O16" i="6" s="1"/>
  <c r="I16" i="6"/>
  <c r="K16" i="6" s="1"/>
  <c r="G16" i="6"/>
  <c r="M17" i="6"/>
  <c r="O17" i="6" s="1"/>
  <c r="I17" i="6"/>
  <c r="K17" i="6" s="1"/>
  <c r="G17" i="6"/>
  <c r="I3" i="5"/>
  <c r="G3" i="5"/>
  <c r="I4" i="5"/>
  <c r="K4" i="5" s="1"/>
  <c r="G4" i="5"/>
  <c r="I5" i="5"/>
  <c r="K5" i="5" s="1"/>
  <c r="G5" i="5"/>
  <c r="M6" i="5"/>
  <c r="I6" i="5"/>
  <c r="G6" i="5"/>
  <c r="W6" i="5"/>
  <c r="X6" i="5" s="1"/>
  <c r="S6" i="5"/>
  <c r="T6" i="5" s="1"/>
  <c r="R6" i="5"/>
  <c r="M7" i="5"/>
  <c r="O7" i="5" s="1"/>
  <c r="I7" i="5"/>
  <c r="K7" i="5" s="1"/>
  <c r="G7" i="5"/>
  <c r="M8" i="5"/>
  <c r="O8" i="5" s="1"/>
  <c r="I8" i="5"/>
  <c r="K8" i="5" s="1"/>
  <c r="G8" i="5"/>
  <c r="M9" i="5"/>
  <c r="I9" i="5"/>
  <c r="G9" i="5"/>
  <c r="W9" i="5"/>
  <c r="X9" i="5" s="1"/>
  <c r="S9" i="5"/>
  <c r="T9" i="5" s="1"/>
  <c r="R9" i="5"/>
  <c r="M10" i="5"/>
  <c r="O10" i="5" s="1"/>
  <c r="I10" i="5"/>
  <c r="K10" i="5" s="1"/>
  <c r="G10" i="5"/>
  <c r="M11" i="5"/>
  <c r="O11" i="5" s="1"/>
  <c r="I11" i="5"/>
  <c r="K11" i="5" s="1"/>
  <c r="G11" i="5"/>
  <c r="M12" i="5"/>
  <c r="I12" i="5"/>
  <c r="G12" i="5"/>
  <c r="W12" i="5"/>
  <c r="X12" i="5" s="1"/>
  <c r="S12" i="5"/>
  <c r="T12" i="5" s="1"/>
  <c r="R12" i="5"/>
  <c r="M13" i="5"/>
  <c r="O13" i="5" s="1"/>
  <c r="I13" i="5"/>
  <c r="K13" i="5" s="1"/>
  <c r="G13" i="5"/>
  <c r="M14" i="5"/>
  <c r="O14" i="5" s="1"/>
  <c r="I14" i="5"/>
  <c r="K14" i="5" s="1"/>
  <c r="G14" i="5"/>
  <c r="M15" i="5"/>
  <c r="I15" i="5"/>
  <c r="G15" i="5"/>
  <c r="W15" i="5"/>
  <c r="X15" i="5" s="1"/>
  <c r="S15" i="5"/>
  <c r="T15" i="5" s="1"/>
  <c r="R15" i="5"/>
  <c r="M16" i="5"/>
  <c r="O16" i="5" s="1"/>
  <c r="I16" i="5"/>
  <c r="K16" i="5" s="1"/>
  <c r="G16" i="5"/>
  <c r="M17" i="5"/>
  <c r="O17" i="5" s="1"/>
  <c r="I17" i="5"/>
  <c r="K17" i="5" s="1"/>
  <c r="G17" i="5"/>
  <c r="I3" i="4"/>
  <c r="G3" i="4"/>
  <c r="I4" i="4"/>
  <c r="K4" i="4" s="1"/>
  <c r="G4" i="4"/>
  <c r="I5" i="4"/>
  <c r="K5" i="4" s="1"/>
  <c r="G5" i="4"/>
  <c r="M6" i="4"/>
  <c r="I6" i="4"/>
  <c r="G6" i="4"/>
  <c r="W6" i="4"/>
  <c r="X6" i="4" s="1"/>
  <c r="S6" i="4"/>
  <c r="T6" i="4" s="1"/>
  <c r="R6" i="4"/>
  <c r="M7" i="4"/>
  <c r="O7" i="4" s="1"/>
  <c r="I7" i="4"/>
  <c r="K7" i="4" s="1"/>
  <c r="G7" i="4"/>
  <c r="M8" i="4"/>
  <c r="O8" i="4" s="1"/>
  <c r="I8" i="4"/>
  <c r="K8" i="4" s="1"/>
  <c r="G8" i="4"/>
  <c r="M9" i="4"/>
  <c r="I9" i="4"/>
  <c r="G9" i="4"/>
  <c r="W9" i="4"/>
  <c r="X9" i="4" s="1"/>
  <c r="S9" i="4"/>
  <c r="T9" i="4" s="1"/>
  <c r="R9" i="4"/>
  <c r="M10" i="4"/>
  <c r="O10" i="4" s="1"/>
  <c r="I10" i="4"/>
  <c r="K10" i="4" s="1"/>
  <c r="G10" i="4"/>
  <c r="M11" i="4"/>
  <c r="O11" i="4" s="1"/>
  <c r="I11" i="4"/>
  <c r="K11" i="4" s="1"/>
  <c r="G11" i="4"/>
  <c r="M12" i="4"/>
  <c r="I12" i="4"/>
  <c r="G12" i="4"/>
  <c r="W12" i="4"/>
  <c r="X12" i="4" s="1"/>
  <c r="S12" i="4"/>
  <c r="T12" i="4" s="1"/>
  <c r="R12" i="4"/>
  <c r="M13" i="4"/>
  <c r="O13" i="4" s="1"/>
  <c r="I13" i="4"/>
  <c r="K13" i="4" s="1"/>
  <c r="G13" i="4"/>
  <c r="M14" i="4"/>
  <c r="O14" i="4" s="1"/>
  <c r="I14" i="4"/>
  <c r="K14" i="4" s="1"/>
  <c r="G14" i="4"/>
  <c r="M15" i="4"/>
  <c r="I15" i="4"/>
  <c r="G15" i="4"/>
  <c r="W15" i="4"/>
  <c r="X15" i="4" s="1"/>
  <c r="S15" i="4"/>
  <c r="T15" i="4" s="1"/>
  <c r="R15" i="4"/>
  <c r="M16" i="4"/>
  <c r="O16" i="4" s="1"/>
  <c r="I16" i="4"/>
  <c r="K16" i="4" s="1"/>
  <c r="G16" i="4"/>
  <c r="M17" i="4"/>
  <c r="O17" i="4" s="1"/>
  <c r="I17" i="4"/>
  <c r="K17" i="4" s="1"/>
  <c r="G17" i="4"/>
  <c r="I3" i="3"/>
  <c r="G3" i="3"/>
  <c r="I4" i="3"/>
  <c r="K4" i="3" s="1"/>
  <c r="G4" i="3"/>
  <c r="I5" i="3"/>
  <c r="K5" i="3" s="1"/>
  <c r="G5" i="3"/>
  <c r="M6" i="3"/>
  <c r="I6" i="3"/>
  <c r="G6" i="3"/>
  <c r="W6" i="3"/>
  <c r="X6" i="3" s="1"/>
  <c r="S6" i="3"/>
  <c r="T6" i="3" s="1"/>
  <c r="R6" i="3"/>
  <c r="M7" i="3"/>
  <c r="O7" i="3" s="1"/>
  <c r="I7" i="3"/>
  <c r="K7" i="3" s="1"/>
  <c r="G7" i="3"/>
  <c r="M8" i="3"/>
  <c r="O8" i="3" s="1"/>
  <c r="I8" i="3"/>
  <c r="K8" i="3" s="1"/>
  <c r="G8" i="3"/>
  <c r="M9" i="3"/>
  <c r="I9" i="3"/>
  <c r="G9" i="3"/>
  <c r="W9" i="3"/>
  <c r="X9" i="3" s="1"/>
  <c r="S9" i="3"/>
  <c r="T9" i="3" s="1"/>
  <c r="R9" i="3"/>
  <c r="M10" i="3"/>
  <c r="O10" i="3" s="1"/>
  <c r="I10" i="3"/>
  <c r="K10" i="3" s="1"/>
  <c r="G10" i="3"/>
  <c r="M11" i="3"/>
  <c r="O11" i="3" s="1"/>
  <c r="I11" i="3"/>
  <c r="K11" i="3" s="1"/>
  <c r="G11" i="3"/>
  <c r="M12" i="3"/>
  <c r="I12" i="3"/>
  <c r="G12" i="3"/>
  <c r="W12" i="3"/>
  <c r="X12" i="3" s="1"/>
  <c r="S12" i="3"/>
  <c r="T12" i="3" s="1"/>
  <c r="R12" i="3"/>
  <c r="M13" i="3"/>
  <c r="O13" i="3" s="1"/>
  <c r="I13" i="3"/>
  <c r="K13" i="3" s="1"/>
  <c r="G13" i="3"/>
  <c r="M14" i="3"/>
  <c r="O14" i="3" s="1"/>
  <c r="I14" i="3"/>
  <c r="K14" i="3" s="1"/>
  <c r="G14" i="3"/>
  <c r="M15" i="3"/>
  <c r="I15" i="3"/>
  <c r="G15" i="3"/>
  <c r="W15" i="3"/>
  <c r="X15" i="3" s="1"/>
  <c r="S15" i="3"/>
  <c r="T15" i="3" s="1"/>
  <c r="R15" i="3"/>
  <c r="M16" i="3"/>
  <c r="O16" i="3" s="1"/>
  <c r="I16" i="3"/>
  <c r="K16" i="3" s="1"/>
  <c r="G16" i="3"/>
  <c r="I3" i="2"/>
  <c r="G3" i="2"/>
  <c r="I4" i="2"/>
  <c r="K4" i="2" s="1"/>
  <c r="G4" i="2"/>
  <c r="I5" i="2"/>
  <c r="K5" i="2" s="1"/>
  <c r="G5" i="2"/>
  <c r="M6" i="2"/>
  <c r="I6" i="2"/>
  <c r="G6" i="2"/>
  <c r="W6" i="2"/>
  <c r="X6" i="2" s="1"/>
  <c r="S6" i="2"/>
  <c r="T6" i="2" s="1"/>
  <c r="R6" i="2"/>
  <c r="M7" i="2"/>
  <c r="O7" i="2" s="1"/>
  <c r="I7" i="2"/>
  <c r="K7" i="2" s="1"/>
  <c r="G7" i="2"/>
  <c r="M8" i="2"/>
  <c r="O8" i="2" s="1"/>
  <c r="I8" i="2"/>
  <c r="K8" i="2" s="1"/>
  <c r="G8" i="2"/>
  <c r="M9" i="2"/>
  <c r="I9" i="2"/>
  <c r="G9" i="2"/>
  <c r="W9" i="2"/>
  <c r="X9" i="2" s="1"/>
  <c r="S9" i="2"/>
  <c r="T9" i="2" s="1"/>
  <c r="R9" i="2"/>
  <c r="M10" i="2"/>
  <c r="O10" i="2" s="1"/>
  <c r="I10" i="2"/>
  <c r="K10" i="2" s="1"/>
  <c r="G10" i="2"/>
  <c r="M11" i="2"/>
  <c r="O11" i="2" s="1"/>
  <c r="I11" i="2"/>
  <c r="K11" i="2" s="1"/>
  <c r="G11" i="2"/>
  <c r="M12" i="2"/>
  <c r="I12" i="2"/>
  <c r="G12" i="2"/>
  <c r="W12" i="2"/>
  <c r="X12" i="2" s="1"/>
  <c r="S12" i="2"/>
  <c r="T12" i="2" s="1"/>
  <c r="R12" i="2"/>
  <c r="M13" i="2"/>
  <c r="O13" i="2" s="1"/>
  <c r="I13" i="2"/>
  <c r="K13" i="2" s="1"/>
  <c r="G13" i="2"/>
  <c r="M14" i="2"/>
  <c r="O14" i="2" s="1"/>
  <c r="I14" i="2"/>
  <c r="K14" i="2" s="1"/>
  <c r="G14" i="2"/>
  <c r="M15" i="2"/>
  <c r="I15" i="2"/>
  <c r="G15" i="2"/>
  <c r="W15" i="2"/>
  <c r="X15" i="2" s="1"/>
  <c r="S15" i="2"/>
  <c r="T15" i="2" s="1"/>
  <c r="R15" i="2"/>
  <c r="M16" i="2"/>
  <c r="O16" i="2" s="1"/>
  <c r="I16" i="2"/>
  <c r="K16" i="2" s="1"/>
  <c r="G16" i="2"/>
  <c r="M17" i="2"/>
  <c r="O17" i="2" s="1"/>
  <c r="I17" i="2"/>
  <c r="K17" i="2" s="1"/>
  <c r="G17" i="2"/>
  <c r="W15" i="1"/>
  <c r="X15" i="1" s="1"/>
  <c r="K15" i="1"/>
  <c r="L15" i="1" s="1"/>
  <c r="O15" i="1"/>
  <c r="P15" i="1" s="1"/>
  <c r="N15" i="1"/>
  <c r="S15" i="1"/>
  <c r="T15" i="1" s="1"/>
  <c r="R15" i="1"/>
  <c r="L3" i="1"/>
  <c r="J3" i="1"/>
  <c r="X6" i="1"/>
  <c r="K6" i="1"/>
  <c r="L6" i="1" s="1"/>
  <c r="J6" i="1"/>
  <c r="O6" i="1"/>
  <c r="P6" i="1" s="1"/>
  <c r="N6" i="1"/>
  <c r="S6" i="1"/>
  <c r="T6" i="1" s="1"/>
  <c r="R6" i="1"/>
  <c r="W9" i="1"/>
  <c r="X9" i="1" s="1"/>
  <c r="K9" i="1"/>
  <c r="L9" i="1" s="1"/>
  <c r="J9" i="1"/>
  <c r="O9" i="1"/>
  <c r="P9" i="1" s="1"/>
  <c r="N9" i="1"/>
  <c r="S9" i="1"/>
  <c r="T9" i="1" s="1"/>
  <c r="R9" i="1"/>
  <c r="W12" i="1"/>
  <c r="X12" i="1" s="1"/>
  <c r="K12" i="1"/>
  <c r="L12" i="1" s="1"/>
  <c r="J12" i="1"/>
  <c r="O12" i="1"/>
  <c r="P12" i="1" s="1"/>
  <c r="N12" i="1"/>
  <c r="S12" i="1"/>
  <c r="T12" i="1" s="1"/>
  <c r="R12" i="1"/>
  <c r="H15" i="7" l="1"/>
  <c r="K15" i="7"/>
  <c r="L15" i="7" s="1"/>
  <c r="J15" i="7"/>
  <c r="O15" i="7"/>
  <c r="P15" i="7" s="1"/>
  <c r="N15" i="7"/>
  <c r="H12" i="7"/>
  <c r="K12" i="7"/>
  <c r="L12" i="7" s="1"/>
  <c r="J12" i="7"/>
  <c r="O12" i="7"/>
  <c r="P12" i="7" s="1"/>
  <c r="N12" i="7"/>
  <c r="H9" i="7"/>
  <c r="K9" i="7"/>
  <c r="L9" i="7" s="1"/>
  <c r="J9" i="7"/>
  <c r="O9" i="7"/>
  <c r="P9" i="7" s="1"/>
  <c r="N9" i="7"/>
  <c r="H6" i="7"/>
  <c r="K6" i="7"/>
  <c r="L6" i="7" s="1"/>
  <c r="J6" i="7"/>
  <c r="O6" i="7"/>
  <c r="P6" i="7" s="1"/>
  <c r="N6" i="7"/>
  <c r="H3" i="7"/>
  <c r="K3" i="7"/>
  <c r="L3" i="7" s="1"/>
  <c r="J3" i="7"/>
  <c r="H15" i="6"/>
  <c r="K15" i="6"/>
  <c r="L15" i="6" s="1"/>
  <c r="J15" i="6"/>
  <c r="O15" i="6"/>
  <c r="P15" i="6" s="1"/>
  <c r="N15" i="6"/>
  <c r="H12" i="6"/>
  <c r="K12" i="6"/>
  <c r="L12" i="6" s="1"/>
  <c r="J12" i="6"/>
  <c r="O12" i="6"/>
  <c r="P12" i="6" s="1"/>
  <c r="N12" i="6"/>
  <c r="H9" i="6"/>
  <c r="K9" i="6"/>
  <c r="L9" i="6" s="1"/>
  <c r="J9" i="6"/>
  <c r="O9" i="6"/>
  <c r="P9" i="6" s="1"/>
  <c r="N9" i="6"/>
  <c r="H6" i="6"/>
  <c r="K6" i="6"/>
  <c r="L6" i="6" s="1"/>
  <c r="J6" i="6"/>
  <c r="O6" i="6"/>
  <c r="P6" i="6" s="1"/>
  <c r="N6" i="6"/>
  <c r="H3" i="6"/>
  <c r="K3" i="6"/>
  <c r="L3" i="6" s="1"/>
  <c r="J3" i="6"/>
  <c r="H15" i="5"/>
  <c r="K15" i="5"/>
  <c r="L15" i="5" s="1"/>
  <c r="J15" i="5"/>
  <c r="O15" i="5"/>
  <c r="P15" i="5" s="1"/>
  <c r="N15" i="5"/>
  <c r="H12" i="5"/>
  <c r="K12" i="5"/>
  <c r="L12" i="5" s="1"/>
  <c r="J12" i="5"/>
  <c r="O12" i="5"/>
  <c r="P12" i="5" s="1"/>
  <c r="N12" i="5"/>
  <c r="H9" i="5"/>
  <c r="K9" i="5"/>
  <c r="L9" i="5" s="1"/>
  <c r="J9" i="5"/>
  <c r="O9" i="5"/>
  <c r="P9" i="5" s="1"/>
  <c r="N9" i="5"/>
  <c r="H6" i="5"/>
  <c r="K6" i="5"/>
  <c r="L6" i="5" s="1"/>
  <c r="J6" i="5"/>
  <c r="O6" i="5"/>
  <c r="P6" i="5" s="1"/>
  <c r="N6" i="5"/>
  <c r="H3" i="5"/>
  <c r="K3" i="5"/>
  <c r="L3" i="5" s="1"/>
  <c r="J3" i="5"/>
  <c r="H15" i="4"/>
  <c r="K15" i="4"/>
  <c r="L15" i="4" s="1"/>
  <c r="J15" i="4"/>
  <c r="O15" i="4"/>
  <c r="P15" i="4" s="1"/>
  <c r="N15" i="4"/>
  <c r="H12" i="4"/>
  <c r="K12" i="4"/>
  <c r="L12" i="4" s="1"/>
  <c r="J12" i="4"/>
  <c r="O12" i="4"/>
  <c r="P12" i="4" s="1"/>
  <c r="N12" i="4"/>
  <c r="H9" i="4"/>
  <c r="K9" i="4"/>
  <c r="L9" i="4" s="1"/>
  <c r="J9" i="4"/>
  <c r="O9" i="4"/>
  <c r="P9" i="4" s="1"/>
  <c r="N9" i="4"/>
  <c r="H6" i="4"/>
  <c r="K6" i="4"/>
  <c r="L6" i="4" s="1"/>
  <c r="J6" i="4"/>
  <c r="O6" i="4"/>
  <c r="P6" i="4" s="1"/>
  <c r="N6" i="4"/>
  <c r="H3" i="4"/>
  <c r="K3" i="4"/>
  <c r="L3" i="4" s="1"/>
  <c r="J3" i="4"/>
  <c r="H15" i="3"/>
  <c r="K15" i="3"/>
  <c r="L15" i="3" s="1"/>
  <c r="J15" i="3"/>
  <c r="O15" i="3"/>
  <c r="H12" i="3"/>
  <c r="K12" i="3"/>
  <c r="L12" i="3" s="1"/>
  <c r="J12" i="3"/>
  <c r="O12" i="3"/>
  <c r="P12" i="3" s="1"/>
  <c r="N12" i="3"/>
  <c r="H9" i="3"/>
  <c r="K9" i="3"/>
  <c r="L9" i="3" s="1"/>
  <c r="J9" i="3"/>
  <c r="O9" i="3"/>
  <c r="P9" i="3" s="1"/>
  <c r="N9" i="3"/>
  <c r="H6" i="3"/>
  <c r="K6" i="3"/>
  <c r="L6" i="3" s="1"/>
  <c r="J6" i="3"/>
  <c r="O6" i="3"/>
  <c r="P6" i="3" s="1"/>
  <c r="N6" i="3"/>
  <c r="H3" i="3"/>
  <c r="K3" i="3"/>
  <c r="L3" i="3" s="1"/>
  <c r="J3" i="3"/>
  <c r="H15" i="2"/>
  <c r="K15" i="2"/>
  <c r="L15" i="2" s="1"/>
  <c r="J15" i="2"/>
  <c r="O15" i="2"/>
  <c r="P15" i="2" s="1"/>
  <c r="N15" i="2"/>
  <c r="H12" i="2"/>
  <c r="K12" i="2"/>
  <c r="L12" i="2" s="1"/>
  <c r="J12" i="2"/>
  <c r="O12" i="2"/>
  <c r="P12" i="2" s="1"/>
  <c r="N12" i="2"/>
  <c r="H9" i="2"/>
  <c r="K9" i="2"/>
  <c r="L9" i="2" s="1"/>
  <c r="J9" i="2"/>
  <c r="O9" i="2"/>
  <c r="P9" i="2" s="1"/>
  <c r="N9" i="2"/>
  <c r="H6" i="2"/>
  <c r="K6" i="2"/>
  <c r="L6" i="2" s="1"/>
  <c r="J6" i="2"/>
  <c r="O6" i="2"/>
  <c r="P6" i="2" s="1"/>
  <c r="N6" i="2"/>
  <c r="H3" i="2"/>
  <c r="K3" i="2"/>
  <c r="L3" i="2" s="1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 Mårtensson</author>
  </authors>
  <commentList>
    <comment ref="D12" authorId="0" shapeId="0" xr:uid="{91E32802-FEA3-4A2E-B510-E06FA48A39E7}">
      <text>
        <r>
          <rPr>
            <sz val="11"/>
            <color theme="1"/>
            <rFont val="Aptos Narrow"/>
            <family val="2"/>
            <scheme val="minor"/>
          </rPr>
          <t>Julia Mårtensson:
dropped gel when using the sieve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 Mårtensson</author>
  </authors>
  <commentList>
    <comment ref="D11" authorId="0" shapeId="0" xr:uid="{6390BA55-8FC8-4387-8C62-2BC186198ECD}">
      <text>
        <r>
          <rPr>
            <sz val="11"/>
            <color theme="1"/>
            <rFont val="Aptos Narrow"/>
            <family val="2"/>
            <scheme val="minor"/>
          </rPr>
          <t>Julia Mårtensson:
The gel fell out of the sieve, so this weight is less than it should be.</t>
        </r>
      </text>
    </comment>
  </commentList>
</comments>
</file>

<file path=xl/sharedStrings.xml><?xml version="1.0" encoding="utf-8"?>
<sst xmlns="http://schemas.openxmlformats.org/spreadsheetml/2006/main" count="327" uniqueCount="34">
  <si>
    <t>TGM amount</t>
  </si>
  <si>
    <t>Swelling time</t>
  </si>
  <si>
    <r>
      <t xml:space="preserve">Original weight </t>
    </r>
    <r>
      <rPr>
        <b/>
        <sz val="11"/>
        <color theme="1"/>
        <rFont val="Aptos Narrow"/>
        <family val="2"/>
        <scheme val="minor"/>
      </rPr>
      <t>Wo</t>
    </r>
  </si>
  <si>
    <r>
      <t xml:space="preserve">Wet weight </t>
    </r>
    <r>
      <rPr>
        <b/>
        <sz val="11"/>
        <color theme="1"/>
        <rFont val="Aptos Narrow"/>
        <family val="2"/>
        <scheme val="minor"/>
      </rPr>
      <t>Ww</t>
    </r>
  </si>
  <si>
    <r>
      <t xml:space="preserve">Dry weight </t>
    </r>
    <r>
      <rPr>
        <b/>
        <sz val="11"/>
        <color theme="1"/>
        <rFont val="Aptos Narrow"/>
        <family val="2"/>
        <scheme val="minor"/>
      </rPr>
      <t>Wd</t>
    </r>
  </si>
  <si>
    <t>Initial dry content</t>
  </si>
  <si>
    <t>Initial water content</t>
  </si>
  <si>
    <t>Water uptake</t>
  </si>
  <si>
    <t>Final water content</t>
  </si>
  <si>
    <t>Final dry content</t>
  </si>
  <si>
    <t>Loss of dry content</t>
  </si>
  <si>
    <t>µl/10 ml</t>
  </si>
  <si>
    <t>min</t>
  </si>
  <si>
    <t>g</t>
  </si>
  <si>
    <t>Average g</t>
  </si>
  <si>
    <t>%</t>
  </si>
  <si>
    <t>Average %</t>
  </si>
  <si>
    <t>ml/g gel</t>
  </si>
  <si>
    <t>Average ml/g gel</t>
  </si>
  <si>
    <t>-</t>
  </si>
  <si>
    <r>
      <rPr>
        <sz val="11"/>
        <color rgb="FF000000"/>
        <rFont val="Aptos Narrow"/>
        <scheme val="minor"/>
      </rPr>
      <t xml:space="preserve">Original weight </t>
    </r>
    <r>
      <rPr>
        <b/>
        <sz val="11"/>
        <color rgb="FF000000"/>
        <rFont val="Aptos Narrow"/>
        <scheme val="minor"/>
      </rPr>
      <t>Wo</t>
    </r>
  </si>
  <si>
    <t>Qs</t>
  </si>
  <si>
    <t>Average</t>
  </si>
  <si>
    <t>Stand Dev</t>
  </si>
  <si>
    <t>Min</t>
  </si>
  <si>
    <t>pH 7 IS 0</t>
  </si>
  <si>
    <t>Time (min)</t>
  </si>
  <si>
    <t>Qs (A.U.)</t>
  </si>
  <si>
    <t>SD</t>
  </si>
  <si>
    <t>pH 7 IS S</t>
  </si>
  <si>
    <t>pH7 IS I</t>
  </si>
  <si>
    <t>pH 3 IS S</t>
  </si>
  <si>
    <t>pH 3 IS 0</t>
  </si>
  <si>
    <t>pH 3 IS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</si>
</sst>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indexed="64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/>
      <diagonal/>
    </border>
    <border>
      <left style="thick">
        <color indexed="64"/>
      </left>
      <right style="thin">
        <color rgb="FF000000"/>
      </right>
      <top/>
      <bottom/>
      <diagonal/>
    </border>
    <border>
      <left style="thick">
        <color indexed="64"/>
      </left>
      <right style="thin">
        <color rgb="FF000000"/>
      </right>
      <top/>
      <bottom style="thick">
        <color indexed="64"/>
      </bottom>
      <diagonal/>
    </border>
    <border>
      <left/>
      <right style="thin">
        <color rgb="FF000000"/>
      </right>
      <top/>
      <bottom/>
      <diagonal/>
    </border>
    <border>
      <left style="double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'pH7 &amp; I.S. 0'!$Y$4:$Y$16</c:f>
              <c:numCache>
                <c:formatCode>General</c:formatCode>
                <c:ptCount val="13"/>
                <c:pt idx="0">
                  <c:v>0</c:v>
                </c:pt>
                <c:pt idx="3">
                  <c:v>15</c:v>
                </c:pt>
                <c:pt idx="6">
                  <c:v>30</c:v>
                </c:pt>
                <c:pt idx="9">
                  <c:v>60</c:v>
                </c:pt>
                <c:pt idx="12">
                  <c:v>180</c:v>
                </c:pt>
              </c:numCache>
            </c:numRef>
          </c:xVal>
          <c:yVal>
            <c:numRef>
              <c:f>'pH7 &amp; I.S. 0'!$AA$4:$AA$16</c:f>
              <c:numCache>
                <c:formatCode>General</c:formatCode>
                <c:ptCount val="13"/>
                <c:pt idx="0">
                  <c:v>29.376788553259136</c:v>
                </c:pt>
                <c:pt idx="3">
                  <c:v>37.582926034538936</c:v>
                </c:pt>
                <c:pt idx="6">
                  <c:v>42.276427103099302</c:v>
                </c:pt>
                <c:pt idx="9">
                  <c:v>55.903119868637106</c:v>
                </c:pt>
                <c:pt idx="12">
                  <c:v>88.114583333333329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B-49BB-900A-47924649E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43680"/>
        <c:axId val="884963903"/>
      </c:scatterChart>
      <c:valAx>
        <c:axId val="14581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3903"/>
        <c:crosses val="autoZero"/>
        <c:crossBetween val="midCat"/>
      </c:valAx>
      <c:valAx>
        <c:axId val="8849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4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uptake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 7 IS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TOT!$D$3:$D$7</c:f>
                <c:numCache>
                  <c:formatCode>General</c:formatCode>
                  <c:ptCount val="5"/>
                  <c:pt idx="0">
                    <c:v>1.4973477360045071</c:v>
                  </c:pt>
                  <c:pt idx="1">
                    <c:v>2.263855825435221</c:v>
                  </c:pt>
                  <c:pt idx="2">
                    <c:v>2.7346077453056625</c:v>
                  </c:pt>
                  <c:pt idx="3">
                    <c:v>3.3626225056627521</c:v>
                  </c:pt>
                  <c:pt idx="4">
                    <c:v>1.8414239093399609</c:v>
                  </c:pt>
                </c:numCache>
              </c:numRef>
            </c:plus>
            <c:minus>
              <c:numRef>
                <c:f>TOT!$D$3:$D$7</c:f>
                <c:numCache>
                  <c:formatCode>General</c:formatCode>
                  <c:ptCount val="5"/>
                  <c:pt idx="0">
                    <c:v>1.4973477360045071</c:v>
                  </c:pt>
                  <c:pt idx="1">
                    <c:v>2.263855825435221</c:v>
                  </c:pt>
                  <c:pt idx="2">
                    <c:v>2.7346077453056625</c:v>
                  </c:pt>
                  <c:pt idx="3">
                    <c:v>3.3626225056627521</c:v>
                  </c:pt>
                  <c:pt idx="4">
                    <c:v>1.8414239093399609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180</c:v>
                </c:pt>
              </c:numCache>
            </c:numRef>
          </c:xVal>
          <c:yVal>
            <c:numRef>
              <c:f>TOT!$B$3:$B$7</c:f>
              <c:numCache>
                <c:formatCode>General</c:formatCode>
                <c:ptCount val="5"/>
                <c:pt idx="0">
                  <c:v>33.333333332999999</c:v>
                </c:pt>
                <c:pt idx="1">
                  <c:v>41.539470814279795</c:v>
                </c:pt>
                <c:pt idx="2">
                  <c:v>46.232971882840161</c:v>
                </c:pt>
                <c:pt idx="3">
                  <c:v>59.859664648377965</c:v>
                </c:pt>
                <c:pt idx="4">
                  <c:v>92.071128113074195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6-4E12-B920-62F123437E61}"/>
            </c:ext>
          </c:extLst>
        </c:ser>
        <c:ser>
          <c:idx val="1"/>
          <c:order val="1"/>
          <c:tx>
            <c:v>pH 7 IS 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TOT!$H$3:$H$7</c:f>
                <c:numCache>
                  <c:formatCode>General</c:formatCode>
                  <c:ptCount val="5"/>
                  <c:pt idx="0">
                    <c:v>1.2061056879654968</c:v>
                  </c:pt>
                  <c:pt idx="1">
                    <c:v>1.2866960422999434</c:v>
                  </c:pt>
                  <c:pt idx="2">
                    <c:v>2.1382921019883856</c:v>
                  </c:pt>
                  <c:pt idx="3">
                    <c:v>3.0910101467957163</c:v>
                  </c:pt>
                  <c:pt idx="4">
                    <c:v>4.8185405045826997</c:v>
                  </c:pt>
                </c:numCache>
              </c:numRef>
            </c:plus>
            <c:minus>
              <c:numRef>
                <c:f>TOT!$H$3:$H$7</c:f>
                <c:numCache>
                  <c:formatCode>General</c:formatCode>
                  <c:ptCount val="5"/>
                  <c:pt idx="0">
                    <c:v>1.2061056879654968</c:v>
                  </c:pt>
                  <c:pt idx="1">
                    <c:v>1.2866960422999434</c:v>
                  </c:pt>
                  <c:pt idx="2">
                    <c:v>2.1382921019883856</c:v>
                  </c:pt>
                  <c:pt idx="3">
                    <c:v>3.0910101467957163</c:v>
                  </c:pt>
                  <c:pt idx="4">
                    <c:v>4.8185405045826997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TOT!$E$3:$E$7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180</c:v>
                </c:pt>
              </c:numCache>
            </c:numRef>
          </c:xVal>
          <c:yVal>
            <c:numRef>
              <c:f>TOT!$F$3:$F$7</c:f>
              <c:numCache>
                <c:formatCode>General</c:formatCode>
                <c:ptCount val="5"/>
                <c:pt idx="0">
                  <c:v>33.333333332999999</c:v>
                </c:pt>
                <c:pt idx="1">
                  <c:v>36.893471423323845</c:v>
                </c:pt>
                <c:pt idx="2">
                  <c:v>40.915314327152046</c:v>
                </c:pt>
                <c:pt idx="3">
                  <c:v>41.540064808152515</c:v>
                </c:pt>
                <c:pt idx="4">
                  <c:v>52.382333248247058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6-4E12-B920-62F123437E61}"/>
            </c:ext>
          </c:extLst>
        </c:ser>
        <c:ser>
          <c:idx val="2"/>
          <c:order val="2"/>
          <c:tx>
            <c:v>pH 7 IS 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TOT!$L$3:$L$7</c:f>
                <c:numCache>
                  <c:formatCode>General</c:formatCode>
                  <c:ptCount val="5"/>
                  <c:pt idx="0">
                    <c:v>0.83494918728576495</c:v>
                  </c:pt>
                  <c:pt idx="1">
                    <c:v>1.9192360347956734</c:v>
                  </c:pt>
                  <c:pt idx="2">
                    <c:v>3.1836382283626228</c:v>
                  </c:pt>
                  <c:pt idx="3">
                    <c:v>0.38932962641082081</c:v>
                  </c:pt>
                  <c:pt idx="4">
                    <c:v>2.3398167650423511</c:v>
                  </c:pt>
                </c:numCache>
              </c:numRef>
            </c:plus>
            <c:minus>
              <c:numRef>
                <c:f>TOT!$L$3:$L$7</c:f>
                <c:numCache>
                  <c:formatCode>General</c:formatCode>
                  <c:ptCount val="5"/>
                  <c:pt idx="0">
                    <c:v>0.83494918728576495</c:v>
                  </c:pt>
                  <c:pt idx="1">
                    <c:v>1.9192360347956734</c:v>
                  </c:pt>
                  <c:pt idx="2">
                    <c:v>3.1836382283626228</c:v>
                  </c:pt>
                  <c:pt idx="3">
                    <c:v>0.38932962641082081</c:v>
                  </c:pt>
                  <c:pt idx="4">
                    <c:v>2.3398167650423511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TOT!$I$3:$I$7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180</c:v>
                </c:pt>
              </c:numCache>
            </c:numRef>
          </c:xVal>
          <c:yVal>
            <c:numRef>
              <c:f>TOT!$J$3:$J$7</c:f>
              <c:numCache>
                <c:formatCode>General</c:formatCode>
                <c:ptCount val="5"/>
                <c:pt idx="0">
                  <c:v>33.333333332999999</c:v>
                </c:pt>
                <c:pt idx="1">
                  <c:v>36.50198394033616</c:v>
                </c:pt>
                <c:pt idx="2">
                  <c:v>38.140569268426518</c:v>
                </c:pt>
                <c:pt idx="3">
                  <c:v>38.587918750418659</c:v>
                </c:pt>
                <c:pt idx="4">
                  <c:v>43.201515790235206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46-4E12-B920-62F123437E61}"/>
            </c:ext>
          </c:extLst>
        </c:ser>
        <c:ser>
          <c:idx val="3"/>
          <c:order val="3"/>
          <c:tx>
            <c:v>pH 3 IS 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TOT!$P$3:$P$7</c:f>
                <c:numCache>
                  <c:formatCode>General</c:formatCode>
                  <c:ptCount val="5"/>
                  <c:pt idx="0">
                    <c:v>0.76798516511357728</c:v>
                  </c:pt>
                  <c:pt idx="1">
                    <c:v>4.3502519180009811</c:v>
                  </c:pt>
                  <c:pt idx="2">
                    <c:v>4.527018001584139</c:v>
                  </c:pt>
                  <c:pt idx="3">
                    <c:v>14.72831287011514</c:v>
                  </c:pt>
                  <c:pt idx="4">
                    <c:v>31.710784877561995</c:v>
                  </c:pt>
                </c:numCache>
              </c:numRef>
            </c:plus>
            <c:minus>
              <c:numRef>
                <c:f>TOT!$P$3:$P$7</c:f>
                <c:numCache>
                  <c:formatCode>General</c:formatCode>
                  <c:ptCount val="5"/>
                  <c:pt idx="0">
                    <c:v>0.76798516511357728</c:v>
                  </c:pt>
                  <c:pt idx="1">
                    <c:v>4.3502519180009811</c:v>
                  </c:pt>
                  <c:pt idx="2">
                    <c:v>4.527018001584139</c:v>
                  </c:pt>
                  <c:pt idx="3">
                    <c:v>14.72831287011514</c:v>
                  </c:pt>
                  <c:pt idx="4">
                    <c:v>31.710784877561995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TOT!$M$3:$M$7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180</c:v>
                </c:pt>
              </c:numCache>
            </c:numRef>
          </c:xVal>
          <c:yVal>
            <c:numRef>
              <c:f>TOT!$N$3:$N$7</c:f>
              <c:numCache>
                <c:formatCode>General</c:formatCode>
                <c:ptCount val="5"/>
                <c:pt idx="0">
                  <c:v>33.333333332999999</c:v>
                </c:pt>
                <c:pt idx="1">
                  <c:v>53.169742506676414</c:v>
                </c:pt>
                <c:pt idx="2">
                  <c:v>61.230250337287089</c:v>
                </c:pt>
                <c:pt idx="3">
                  <c:v>82.772491139962668</c:v>
                </c:pt>
                <c:pt idx="4">
                  <c:v>121.02391971139126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46-4E12-B920-62F123437E61}"/>
            </c:ext>
          </c:extLst>
        </c:ser>
        <c:ser>
          <c:idx val="4"/>
          <c:order val="4"/>
          <c:tx>
            <c:v>pH 3 IS 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TOT!$T$3:$T$7</c:f>
                <c:numCache>
                  <c:formatCode>General</c:formatCode>
                  <c:ptCount val="5"/>
                  <c:pt idx="0">
                    <c:v>0.4190312041828036</c:v>
                  </c:pt>
                  <c:pt idx="1">
                    <c:v>0.9491787596752197</c:v>
                  </c:pt>
                  <c:pt idx="2">
                    <c:v>1.5298840984937598</c:v>
                  </c:pt>
                  <c:pt idx="3">
                    <c:v>1.5119452265628865</c:v>
                  </c:pt>
                  <c:pt idx="4">
                    <c:v>3.1099333832093259</c:v>
                  </c:pt>
                </c:numCache>
              </c:numRef>
            </c:plus>
            <c:minus>
              <c:numRef>
                <c:f>TOT!$T$3:$T$7</c:f>
                <c:numCache>
                  <c:formatCode>General</c:formatCode>
                  <c:ptCount val="5"/>
                  <c:pt idx="0">
                    <c:v>0.4190312041828036</c:v>
                  </c:pt>
                  <c:pt idx="1">
                    <c:v>0.9491787596752197</c:v>
                  </c:pt>
                  <c:pt idx="2">
                    <c:v>1.5298840984937598</c:v>
                  </c:pt>
                  <c:pt idx="3">
                    <c:v>1.5119452265628865</c:v>
                  </c:pt>
                  <c:pt idx="4">
                    <c:v>3.1099333832093259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TOT!$Q$3:$Q$7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180</c:v>
                </c:pt>
              </c:numCache>
            </c:numRef>
          </c:xVal>
          <c:yVal>
            <c:numRef>
              <c:f>TOT!$R$3:$R$7</c:f>
              <c:numCache>
                <c:formatCode>General</c:formatCode>
                <c:ptCount val="5"/>
                <c:pt idx="0">
                  <c:v>33.333333332999999</c:v>
                </c:pt>
                <c:pt idx="1">
                  <c:v>40.529423158220794</c:v>
                </c:pt>
                <c:pt idx="2">
                  <c:v>41.799908218179539</c:v>
                </c:pt>
                <c:pt idx="3">
                  <c:v>40.852891363267943</c:v>
                </c:pt>
                <c:pt idx="4">
                  <c:v>54.690579395852616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46-4E12-B920-62F123437E61}"/>
            </c:ext>
          </c:extLst>
        </c:ser>
        <c:ser>
          <c:idx val="5"/>
          <c:order val="5"/>
          <c:tx>
            <c:v>pH 3 IS 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TOT!$X$3:$X$7</c:f>
                <c:numCache>
                  <c:formatCode>General</c:formatCode>
                  <c:ptCount val="5"/>
                  <c:pt idx="0">
                    <c:v>0.56055975381169909</c:v>
                  </c:pt>
                  <c:pt idx="1">
                    <c:v>2.5003993018628856</c:v>
                  </c:pt>
                  <c:pt idx="2">
                    <c:v>6.9552154025348099</c:v>
                  </c:pt>
                  <c:pt idx="3">
                    <c:v>8.270168267852064</c:v>
                  </c:pt>
                  <c:pt idx="4">
                    <c:v>0.45391575650145372</c:v>
                  </c:pt>
                </c:numCache>
              </c:numRef>
            </c:plus>
            <c:minus>
              <c:numRef>
                <c:f>TOT!$X$3:$X$7</c:f>
                <c:numCache>
                  <c:formatCode>General</c:formatCode>
                  <c:ptCount val="5"/>
                  <c:pt idx="0">
                    <c:v>0.56055975381169909</c:v>
                  </c:pt>
                  <c:pt idx="1">
                    <c:v>2.5003993018628856</c:v>
                  </c:pt>
                  <c:pt idx="2">
                    <c:v>6.9552154025348099</c:v>
                  </c:pt>
                  <c:pt idx="3">
                    <c:v>8.270168267852064</c:v>
                  </c:pt>
                  <c:pt idx="4">
                    <c:v>0.45391575650145372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TOT!$Q$3:$Q$7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180</c:v>
                </c:pt>
              </c:numCache>
            </c:numRef>
          </c:xVal>
          <c:yVal>
            <c:numRef>
              <c:f>TOT!$V$3:$V$7</c:f>
              <c:numCache>
                <c:formatCode>General</c:formatCode>
                <c:ptCount val="5"/>
                <c:pt idx="0">
                  <c:v>33.333333332999999</c:v>
                </c:pt>
                <c:pt idx="1">
                  <c:v>37.278451717142779</c:v>
                </c:pt>
                <c:pt idx="2">
                  <c:v>39.033784953724378</c:v>
                </c:pt>
                <c:pt idx="3">
                  <c:v>40.741867572022045</c:v>
                </c:pt>
                <c:pt idx="4">
                  <c:v>33.721096594804536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46-4E12-B920-62F123437E61}"/>
            </c:ext>
          </c:extLst>
        </c:ser>
        <c:ser>
          <c:idx val="6"/>
          <c:order val="6"/>
          <c:tx>
            <c:v>pH 3 IS S pepsin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TOT!$AB$3:$AB$6</c:f>
                <c:numCache>
                  <c:formatCode>General</c:formatCode>
                  <c:ptCount val="4"/>
                  <c:pt idx="0">
                    <c:v>1.1197381616370101</c:v>
                  </c:pt>
                  <c:pt idx="1">
                    <c:v>4.3881113330582968</c:v>
                  </c:pt>
                  <c:pt idx="2">
                    <c:v>2.9012249001928412</c:v>
                  </c:pt>
                  <c:pt idx="3">
                    <c:v>2.7721202884071845</c:v>
                  </c:pt>
                </c:numCache>
              </c:numRef>
            </c:plus>
            <c:minus>
              <c:numRef>
                <c:f>TOT!$AB$3:$AB$6</c:f>
                <c:numCache>
                  <c:formatCode>General</c:formatCode>
                  <c:ptCount val="4"/>
                  <c:pt idx="0">
                    <c:v>1.1197381616370101</c:v>
                  </c:pt>
                  <c:pt idx="1">
                    <c:v>4.3881113330582968</c:v>
                  </c:pt>
                  <c:pt idx="2">
                    <c:v>2.9012249001928412</c:v>
                  </c:pt>
                  <c:pt idx="3">
                    <c:v>2.7721202884071845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TOT!$Y$3:$Y$7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180</c:v>
                </c:pt>
              </c:numCache>
            </c:numRef>
          </c:xVal>
          <c:yVal>
            <c:numRef>
              <c:f>TOT!$Z$3:$Z$7</c:f>
              <c:numCache>
                <c:formatCode>General</c:formatCode>
                <c:ptCount val="5"/>
                <c:pt idx="0">
                  <c:v>33.333333332999999</c:v>
                </c:pt>
                <c:pt idx="1">
                  <c:v>37.971400553590726</c:v>
                </c:pt>
                <c:pt idx="2">
                  <c:v>38.481814920587276</c:v>
                </c:pt>
                <c:pt idx="3">
                  <c:v>41.363204457410163</c:v>
                </c:pt>
                <c:pt idx="4">
                  <c:v>15.833677811216816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46-4E12-B920-62F123437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985199"/>
        <c:axId val="969987119"/>
      </c:scatterChart>
      <c:valAx>
        <c:axId val="9699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7119"/>
        <c:crosses val="autoZero"/>
        <c:crossBetween val="midCat"/>
      </c:valAx>
      <c:valAx>
        <c:axId val="969987119"/>
        <c:scaling>
          <c:orientation val="minMax"/>
          <c:max val="1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uptake (up to 30')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 7 IS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TOT!$D$3:$D$7</c:f>
                <c:numCache>
                  <c:formatCode>General</c:formatCode>
                  <c:ptCount val="5"/>
                  <c:pt idx="0">
                    <c:v>1.4973477360045071</c:v>
                  </c:pt>
                  <c:pt idx="1">
                    <c:v>2.263855825435221</c:v>
                  </c:pt>
                  <c:pt idx="2">
                    <c:v>2.7346077453056625</c:v>
                  </c:pt>
                  <c:pt idx="3">
                    <c:v>3.3626225056627521</c:v>
                  </c:pt>
                  <c:pt idx="4">
                    <c:v>1.8414239093399609</c:v>
                  </c:pt>
                </c:numCache>
              </c:numRef>
            </c:plus>
            <c:minus>
              <c:numRef>
                <c:f>TOT!$D$3:$D$7</c:f>
                <c:numCache>
                  <c:formatCode>General</c:formatCode>
                  <c:ptCount val="5"/>
                  <c:pt idx="0">
                    <c:v>1.4973477360045071</c:v>
                  </c:pt>
                  <c:pt idx="1">
                    <c:v>2.263855825435221</c:v>
                  </c:pt>
                  <c:pt idx="2">
                    <c:v>2.7346077453056625</c:v>
                  </c:pt>
                  <c:pt idx="3">
                    <c:v>3.3626225056627521</c:v>
                  </c:pt>
                  <c:pt idx="4">
                    <c:v>1.8414239093399609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TOT!$A$3:$A$7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180</c:v>
                </c:pt>
              </c:numCache>
            </c:numRef>
          </c:xVal>
          <c:yVal>
            <c:numRef>
              <c:f>TOT!$B$3:$B$7</c:f>
              <c:numCache>
                <c:formatCode>General</c:formatCode>
                <c:ptCount val="5"/>
                <c:pt idx="0">
                  <c:v>33.333333332999999</c:v>
                </c:pt>
                <c:pt idx="1">
                  <c:v>41.539470814279795</c:v>
                </c:pt>
                <c:pt idx="2">
                  <c:v>46.232971882840161</c:v>
                </c:pt>
                <c:pt idx="3">
                  <c:v>59.859664648377965</c:v>
                </c:pt>
                <c:pt idx="4">
                  <c:v>92.071128113074195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6-4008-9477-EED77AED813B}"/>
            </c:ext>
          </c:extLst>
        </c:ser>
        <c:ser>
          <c:idx val="1"/>
          <c:order val="1"/>
          <c:tx>
            <c:v>pH 7 IS 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TOT!$H$3:$H$7</c:f>
                <c:numCache>
                  <c:formatCode>General</c:formatCode>
                  <c:ptCount val="5"/>
                  <c:pt idx="0">
                    <c:v>1.2061056879654968</c:v>
                  </c:pt>
                  <c:pt idx="1">
                    <c:v>1.2866960422999434</c:v>
                  </c:pt>
                  <c:pt idx="2">
                    <c:v>2.1382921019883856</c:v>
                  </c:pt>
                  <c:pt idx="3">
                    <c:v>3.0910101467957163</c:v>
                  </c:pt>
                  <c:pt idx="4">
                    <c:v>4.8185405045826997</c:v>
                  </c:pt>
                </c:numCache>
              </c:numRef>
            </c:plus>
            <c:minus>
              <c:numRef>
                <c:f>TOT!$H$3:$H$7</c:f>
                <c:numCache>
                  <c:formatCode>General</c:formatCode>
                  <c:ptCount val="5"/>
                  <c:pt idx="0">
                    <c:v>1.2061056879654968</c:v>
                  </c:pt>
                  <c:pt idx="1">
                    <c:v>1.2866960422999434</c:v>
                  </c:pt>
                  <c:pt idx="2">
                    <c:v>2.1382921019883856</c:v>
                  </c:pt>
                  <c:pt idx="3">
                    <c:v>3.0910101467957163</c:v>
                  </c:pt>
                  <c:pt idx="4">
                    <c:v>4.8185405045826997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TOT!$E$3:$E$7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180</c:v>
                </c:pt>
              </c:numCache>
            </c:numRef>
          </c:xVal>
          <c:yVal>
            <c:numRef>
              <c:f>TOT!$F$3:$F$7</c:f>
              <c:numCache>
                <c:formatCode>General</c:formatCode>
                <c:ptCount val="5"/>
                <c:pt idx="0">
                  <c:v>33.333333332999999</c:v>
                </c:pt>
                <c:pt idx="1">
                  <c:v>36.893471423323845</c:v>
                </c:pt>
                <c:pt idx="2">
                  <c:v>40.915314327152046</c:v>
                </c:pt>
                <c:pt idx="3">
                  <c:v>41.540064808152515</c:v>
                </c:pt>
                <c:pt idx="4">
                  <c:v>52.382333248247058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6-4008-9477-EED77AED813B}"/>
            </c:ext>
          </c:extLst>
        </c:ser>
        <c:ser>
          <c:idx val="2"/>
          <c:order val="2"/>
          <c:tx>
            <c:v>pH 7 IS 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TOT!$L$3:$L$7</c:f>
                <c:numCache>
                  <c:formatCode>General</c:formatCode>
                  <c:ptCount val="5"/>
                  <c:pt idx="0">
                    <c:v>0.83494918728576495</c:v>
                  </c:pt>
                  <c:pt idx="1">
                    <c:v>1.9192360347956734</c:v>
                  </c:pt>
                  <c:pt idx="2">
                    <c:v>3.1836382283626228</c:v>
                  </c:pt>
                  <c:pt idx="3">
                    <c:v>0.38932962641082081</c:v>
                  </c:pt>
                  <c:pt idx="4">
                    <c:v>2.3398167650423511</c:v>
                  </c:pt>
                </c:numCache>
              </c:numRef>
            </c:plus>
            <c:minus>
              <c:numRef>
                <c:f>TOT!$L$3:$L$7</c:f>
                <c:numCache>
                  <c:formatCode>General</c:formatCode>
                  <c:ptCount val="5"/>
                  <c:pt idx="0">
                    <c:v>0.83494918728576495</c:v>
                  </c:pt>
                  <c:pt idx="1">
                    <c:v>1.9192360347956734</c:v>
                  </c:pt>
                  <c:pt idx="2">
                    <c:v>3.1836382283626228</c:v>
                  </c:pt>
                  <c:pt idx="3">
                    <c:v>0.38932962641082081</c:v>
                  </c:pt>
                  <c:pt idx="4">
                    <c:v>2.3398167650423511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TOT!$I$3:$I$7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180</c:v>
                </c:pt>
              </c:numCache>
            </c:numRef>
          </c:xVal>
          <c:yVal>
            <c:numRef>
              <c:f>TOT!$J$3:$J$7</c:f>
              <c:numCache>
                <c:formatCode>General</c:formatCode>
                <c:ptCount val="5"/>
                <c:pt idx="0">
                  <c:v>33.333333332999999</c:v>
                </c:pt>
                <c:pt idx="1">
                  <c:v>36.50198394033616</c:v>
                </c:pt>
                <c:pt idx="2">
                  <c:v>38.140569268426518</c:v>
                </c:pt>
                <c:pt idx="3">
                  <c:v>38.587918750418659</c:v>
                </c:pt>
                <c:pt idx="4">
                  <c:v>43.201515790235206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6-4008-9477-EED77AED813B}"/>
            </c:ext>
          </c:extLst>
        </c:ser>
        <c:ser>
          <c:idx val="3"/>
          <c:order val="3"/>
          <c:tx>
            <c:v>pH 3 IS 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TOT!$P$3:$P$7</c:f>
                <c:numCache>
                  <c:formatCode>General</c:formatCode>
                  <c:ptCount val="5"/>
                  <c:pt idx="0">
                    <c:v>0.76798516511357728</c:v>
                  </c:pt>
                  <c:pt idx="1">
                    <c:v>4.3502519180009811</c:v>
                  </c:pt>
                  <c:pt idx="2">
                    <c:v>4.527018001584139</c:v>
                  </c:pt>
                  <c:pt idx="3">
                    <c:v>14.72831287011514</c:v>
                  </c:pt>
                  <c:pt idx="4">
                    <c:v>31.710784877561995</c:v>
                  </c:pt>
                </c:numCache>
              </c:numRef>
            </c:plus>
            <c:minus>
              <c:numRef>
                <c:f>TOT!$P$3:$P$7</c:f>
                <c:numCache>
                  <c:formatCode>General</c:formatCode>
                  <c:ptCount val="5"/>
                  <c:pt idx="0">
                    <c:v>0.76798516511357728</c:v>
                  </c:pt>
                  <c:pt idx="1">
                    <c:v>4.3502519180009811</c:v>
                  </c:pt>
                  <c:pt idx="2">
                    <c:v>4.527018001584139</c:v>
                  </c:pt>
                  <c:pt idx="3">
                    <c:v>14.72831287011514</c:v>
                  </c:pt>
                  <c:pt idx="4">
                    <c:v>31.710784877561995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TOT!$M$3:$M$7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180</c:v>
                </c:pt>
              </c:numCache>
            </c:numRef>
          </c:xVal>
          <c:yVal>
            <c:numRef>
              <c:f>TOT!$N$3:$N$7</c:f>
              <c:numCache>
                <c:formatCode>General</c:formatCode>
                <c:ptCount val="5"/>
                <c:pt idx="0">
                  <c:v>33.333333332999999</c:v>
                </c:pt>
                <c:pt idx="1">
                  <c:v>53.169742506676414</c:v>
                </c:pt>
                <c:pt idx="2">
                  <c:v>61.230250337287089</c:v>
                </c:pt>
                <c:pt idx="3">
                  <c:v>82.772491139962668</c:v>
                </c:pt>
                <c:pt idx="4">
                  <c:v>121.02391971139126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06-4008-9477-EED77AED813B}"/>
            </c:ext>
          </c:extLst>
        </c:ser>
        <c:ser>
          <c:idx val="4"/>
          <c:order val="4"/>
          <c:tx>
            <c:v>pH 3 IS 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TOT!$T$3:$T$7</c:f>
                <c:numCache>
                  <c:formatCode>General</c:formatCode>
                  <c:ptCount val="5"/>
                  <c:pt idx="0">
                    <c:v>0.4190312041828036</c:v>
                  </c:pt>
                  <c:pt idx="1">
                    <c:v>0.9491787596752197</c:v>
                  </c:pt>
                  <c:pt idx="2">
                    <c:v>1.5298840984937598</c:v>
                  </c:pt>
                  <c:pt idx="3">
                    <c:v>1.5119452265628865</c:v>
                  </c:pt>
                  <c:pt idx="4">
                    <c:v>3.1099333832093259</c:v>
                  </c:pt>
                </c:numCache>
              </c:numRef>
            </c:plus>
            <c:minus>
              <c:numRef>
                <c:f>TOT!$T$3:$T$7</c:f>
                <c:numCache>
                  <c:formatCode>General</c:formatCode>
                  <c:ptCount val="5"/>
                  <c:pt idx="0">
                    <c:v>0.4190312041828036</c:v>
                  </c:pt>
                  <c:pt idx="1">
                    <c:v>0.9491787596752197</c:v>
                  </c:pt>
                  <c:pt idx="2">
                    <c:v>1.5298840984937598</c:v>
                  </c:pt>
                  <c:pt idx="3">
                    <c:v>1.5119452265628865</c:v>
                  </c:pt>
                  <c:pt idx="4">
                    <c:v>3.1099333832093259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TOT!$Q$3:$Q$7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180</c:v>
                </c:pt>
              </c:numCache>
            </c:numRef>
          </c:xVal>
          <c:yVal>
            <c:numRef>
              <c:f>TOT!$R$3:$R$7</c:f>
              <c:numCache>
                <c:formatCode>General</c:formatCode>
                <c:ptCount val="5"/>
                <c:pt idx="0">
                  <c:v>33.333333332999999</c:v>
                </c:pt>
                <c:pt idx="1">
                  <c:v>40.529423158220794</c:v>
                </c:pt>
                <c:pt idx="2">
                  <c:v>41.799908218179539</c:v>
                </c:pt>
                <c:pt idx="3">
                  <c:v>40.852891363267943</c:v>
                </c:pt>
                <c:pt idx="4">
                  <c:v>54.690579395852616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06-4008-9477-EED77AED813B}"/>
            </c:ext>
          </c:extLst>
        </c:ser>
        <c:ser>
          <c:idx val="5"/>
          <c:order val="5"/>
          <c:tx>
            <c:v>pH 3 IS 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TOT!$X$3:$X$7</c:f>
                <c:numCache>
                  <c:formatCode>General</c:formatCode>
                  <c:ptCount val="5"/>
                  <c:pt idx="0">
                    <c:v>0.56055975381169909</c:v>
                  </c:pt>
                  <c:pt idx="1">
                    <c:v>2.5003993018628856</c:v>
                  </c:pt>
                  <c:pt idx="2">
                    <c:v>6.9552154025348099</c:v>
                  </c:pt>
                  <c:pt idx="3">
                    <c:v>8.270168267852064</c:v>
                  </c:pt>
                  <c:pt idx="4">
                    <c:v>0.45391575650145372</c:v>
                  </c:pt>
                </c:numCache>
              </c:numRef>
            </c:plus>
            <c:minus>
              <c:numRef>
                <c:f>TOT!$X$3:$X$7</c:f>
                <c:numCache>
                  <c:formatCode>General</c:formatCode>
                  <c:ptCount val="5"/>
                  <c:pt idx="0">
                    <c:v>0.56055975381169909</c:v>
                  </c:pt>
                  <c:pt idx="1">
                    <c:v>2.5003993018628856</c:v>
                  </c:pt>
                  <c:pt idx="2">
                    <c:v>6.9552154025348099</c:v>
                  </c:pt>
                  <c:pt idx="3">
                    <c:v>8.270168267852064</c:v>
                  </c:pt>
                  <c:pt idx="4">
                    <c:v>0.45391575650145372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TOT!$Q$3:$Q$7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180</c:v>
                </c:pt>
              </c:numCache>
            </c:numRef>
          </c:xVal>
          <c:yVal>
            <c:numRef>
              <c:f>TOT!$V$3:$V$7</c:f>
              <c:numCache>
                <c:formatCode>General</c:formatCode>
                <c:ptCount val="5"/>
                <c:pt idx="0">
                  <c:v>33.333333332999999</c:v>
                </c:pt>
                <c:pt idx="1">
                  <c:v>37.278451717142779</c:v>
                </c:pt>
                <c:pt idx="2">
                  <c:v>39.033784953724378</c:v>
                </c:pt>
                <c:pt idx="3">
                  <c:v>40.741867572022045</c:v>
                </c:pt>
                <c:pt idx="4">
                  <c:v>33.721096594804536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06-4008-9477-EED77AED813B}"/>
            </c:ext>
          </c:extLst>
        </c:ser>
        <c:ser>
          <c:idx val="6"/>
          <c:order val="6"/>
          <c:tx>
            <c:v>pH 3 IS S pepsin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TOT!$AB$3:$AB$6</c:f>
                <c:numCache>
                  <c:formatCode>General</c:formatCode>
                  <c:ptCount val="4"/>
                  <c:pt idx="0">
                    <c:v>1.1197381616370101</c:v>
                  </c:pt>
                  <c:pt idx="1">
                    <c:v>4.3881113330582968</c:v>
                  </c:pt>
                  <c:pt idx="2">
                    <c:v>2.9012249001928412</c:v>
                  </c:pt>
                  <c:pt idx="3">
                    <c:v>2.7721202884071845</c:v>
                  </c:pt>
                </c:numCache>
              </c:numRef>
            </c:plus>
            <c:minus>
              <c:numRef>
                <c:f>TOT!$AB$3:$AB$6</c:f>
                <c:numCache>
                  <c:formatCode>General</c:formatCode>
                  <c:ptCount val="4"/>
                  <c:pt idx="0">
                    <c:v>1.1197381616370101</c:v>
                  </c:pt>
                  <c:pt idx="1">
                    <c:v>4.3881113330582968</c:v>
                  </c:pt>
                  <c:pt idx="2">
                    <c:v>2.9012249001928412</c:v>
                  </c:pt>
                  <c:pt idx="3">
                    <c:v>2.7721202884071845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TOT!$Y$3:$Y$7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180</c:v>
                </c:pt>
              </c:numCache>
            </c:numRef>
          </c:xVal>
          <c:yVal>
            <c:numRef>
              <c:f>TOT!$Z$3:$Z$7</c:f>
              <c:numCache>
                <c:formatCode>General</c:formatCode>
                <c:ptCount val="5"/>
                <c:pt idx="0">
                  <c:v>33.333333332999999</c:v>
                </c:pt>
                <c:pt idx="1">
                  <c:v>37.971400553590726</c:v>
                </c:pt>
                <c:pt idx="2">
                  <c:v>38.481814920587276</c:v>
                </c:pt>
                <c:pt idx="3">
                  <c:v>41.363204457410163</c:v>
                </c:pt>
                <c:pt idx="4">
                  <c:v>15.833677811216816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06-4008-9477-EED77AED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985199"/>
        <c:axId val="969987119"/>
      </c:scatterChart>
      <c:valAx>
        <c:axId val="969985199"/>
        <c:scaling>
          <c:orientation val="minMax"/>
          <c:max val="3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7119"/>
        <c:crosses val="autoZero"/>
        <c:crossBetween val="midCat"/>
      </c:valAx>
      <c:valAx>
        <c:axId val="969987119"/>
        <c:scaling>
          <c:orientation val="minMax"/>
          <c:max val="66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483704</xdr:colOff>
      <xdr:row>17</xdr:row>
      <xdr:rowOff>62948</xdr:rowOff>
    </xdr:from>
    <xdr:to>
      <xdr:col>16</xdr:col>
      <xdr:colOff>443948</xdr:colOff>
      <xdr:row>32</xdr:row>
      <xdr:rowOff>23191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F9A1C-B038-05C0-5F07-D9741570F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236245</xdr:colOff>
      <xdr:row>24</xdr:row>
      <xdr:rowOff>169983</xdr:rowOff>
    </xdr:from>
    <xdr:to>
      <xdr:col>17</xdr:col>
      <xdr:colOff>293076</xdr:colOff>
      <xdr:row>50</xdr:row>
      <xdr:rowOff>35168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1B8B5D-0D35-3136-B32E-F1CC1093D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6626</xdr:colOff>
      <xdr:row>24</xdr:row>
      <xdr:rowOff>165652</xdr:rowOff>
    </xdr:from>
    <xdr:to>
      <xdr:col>31</xdr:col>
      <xdr:colOff>63457</xdr:colOff>
      <xdr:row>50</xdr:row>
      <xdr:rowOff>30837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20E3F2-05D0-4DED-851F-A76D1B49B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5F54-0878-45C8-829D-4DA2D435AFE2}">
  <dimension ref="A1:AB17"/>
  <sheetViews>
    <sheetView zoomScale="115" zoomScaleNormal="115" workbookViewId="0">
      <selection activeCell="G39" sqref="G39"/>
    </sheetView>
  </sheetViews>
  <sheetFormatPr defaultRowHeight="14.4" x14ac:dyDescent="0.3"/>
  <cols>
    <col min="1" max="1" width="13.6640625" customWidth="1"/>
    <col min="2" max="2" width="16.44140625" customWidth="1"/>
    <col min="3" max="3" width="19.6640625" customWidth="1"/>
    <col min="4" max="4" width="18" customWidth="1"/>
    <col min="6" max="6" width="11.5546875" customWidth="1"/>
    <col min="9" max="9" width="12.33203125" customWidth="1"/>
    <col min="11" max="11" width="11.6640625" customWidth="1"/>
    <col min="12" max="12" width="11.109375" customWidth="1"/>
  </cols>
  <sheetData>
    <row r="1" spans="1:28" x14ac:dyDescent="0.3">
      <c r="A1" s="1" t="s">
        <v>0</v>
      </c>
      <c r="B1" s="2" t="s">
        <v>1</v>
      </c>
      <c r="C1" s="3" t="s">
        <v>2</v>
      </c>
      <c r="D1" s="3" t="s">
        <v>3</v>
      </c>
      <c r="E1" s="101" t="s">
        <v>4</v>
      </c>
      <c r="F1" s="102"/>
      <c r="G1" s="89" t="s">
        <v>5</v>
      </c>
      <c r="H1" s="90"/>
      <c r="I1" s="90" t="s">
        <v>6</v>
      </c>
      <c r="J1" s="90"/>
      <c r="K1" s="90"/>
      <c r="L1" s="103"/>
      <c r="M1" s="90" t="s">
        <v>7</v>
      </c>
      <c r="N1" s="90"/>
      <c r="O1" s="90"/>
      <c r="P1" s="90"/>
      <c r="Q1" s="89" t="s">
        <v>8</v>
      </c>
      <c r="R1" s="90"/>
      <c r="S1" s="90"/>
      <c r="T1" s="90"/>
      <c r="U1" s="89" t="s">
        <v>9</v>
      </c>
      <c r="V1" s="90"/>
      <c r="W1" s="89" t="s">
        <v>10</v>
      </c>
      <c r="X1" s="94"/>
      <c r="Y1" t="s">
        <v>24</v>
      </c>
      <c r="Z1" t="s">
        <v>21</v>
      </c>
      <c r="AA1" t="s">
        <v>22</v>
      </c>
      <c r="AB1" t="s">
        <v>23</v>
      </c>
    </row>
    <row r="2" spans="1:28" x14ac:dyDescent="0.3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8" x14ac:dyDescent="0.3">
      <c r="A3" s="95">
        <v>65</v>
      </c>
      <c r="B3" s="63">
        <v>0</v>
      </c>
      <c r="C3" s="12">
        <f>1.747-0.667</f>
        <v>1.08</v>
      </c>
      <c r="D3" s="12" t="s">
        <v>19</v>
      </c>
      <c r="E3" s="12">
        <v>3.6999999999999998E-2</v>
      </c>
      <c r="F3" s="65">
        <f>AVERAGE(E3:E5)</f>
        <v>3.5000000000000003E-2</v>
      </c>
      <c r="G3" s="19">
        <f t="shared" ref="G3:G11" si="0">E3*100/C3</f>
        <v>3.4259259259259256</v>
      </c>
      <c r="H3" s="67">
        <f>AVERAGE(G3:G5)</f>
        <v>3.2972162246283947</v>
      </c>
      <c r="I3" s="19">
        <f>C3-E3</f>
        <v>1.0430000000000001</v>
      </c>
      <c r="J3" s="65">
        <f>AVERAGE(I3:I5)</f>
        <v>1.0270000000000001</v>
      </c>
      <c r="K3" s="21">
        <f>I3*100/C3</f>
        <v>96.574074074074076</v>
      </c>
      <c r="L3" s="67">
        <f>AVERAGE(K3:K5)</f>
        <v>96.7027837753716</v>
      </c>
      <c r="M3" s="39">
        <v>0</v>
      </c>
      <c r="N3" s="99">
        <v>0</v>
      </c>
      <c r="O3" s="41">
        <v>0</v>
      </c>
      <c r="P3" s="99">
        <v>0</v>
      </c>
      <c r="Q3" s="41"/>
      <c r="R3" s="40"/>
      <c r="S3" s="41"/>
      <c r="T3" s="41"/>
      <c r="U3" s="42"/>
      <c r="V3" s="41"/>
      <c r="W3" s="42"/>
      <c r="X3" s="43"/>
      <c r="Z3" s="110">
        <f>(C3-E3)/E3</f>
        <v>28.189189189189193</v>
      </c>
    </row>
    <row r="4" spans="1:28" x14ac:dyDescent="0.3">
      <c r="A4" s="96"/>
      <c r="B4" s="63"/>
      <c r="C4" s="12">
        <f>1.627-0.611</f>
        <v>1.016</v>
      </c>
      <c r="D4" s="12" t="s">
        <v>19</v>
      </c>
      <c r="E4" s="12">
        <v>3.4000000000000002E-2</v>
      </c>
      <c r="F4" s="65"/>
      <c r="G4" s="19">
        <f t="shared" si="0"/>
        <v>3.3464566929133861</v>
      </c>
      <c r="H4" s="67"/>
      <c r="I4" s="19">
        <f t="shared" ref="I4:I16" si="1">C4-E4</f>
        <v>0.98199999999999998</v>
      </c>
      <c r="J4" s="65"/>
      <c r="K4" s="21">
        <f t="shared" ref="K4:K16" si="2">I4*100/C4</f>
        <v>96.653543307086622</v>
      </c>
      <c r="L4" s="67"/>
      <c r="M4" s="39">
        <v>0</v>
      </c>
      <c r="N4" s="99"/>
      <c r="O4" s="41">
        <v>0</v>
      </c>
      <c r="P4" s="99"/>
      <c r="Q4" s="41"/>
      <c r="R4" s="40"/>
      <c r="S4" s="41"/>
      <c r="T4" s="41"/>
      <c r="U4" s="42"/>
      <c r="V4" s="41"/>
      <c r="W4" s="42"/>
      <c r="X4" s="43"/>
      <c r="Y4">
        <v>0</v>
      </c>
      <c r="Z4" s="111">
        <f t="shared" ref="Z4:Z5" si="3">(C4-E4)/E4</f>
        <v>28.882352941176467</v>
      </c>
      <c r="AA4">
        <f>AVERAGE(Z3:Z5)</f>
        <v>29.376788553259136</v>
      </c>
      <c r="AB4">
        <f>_xlfn.STDEV.S(Z3:Z5)</f>
        <v>1.4973477360045071</v>
      </c>
    </row>
    <row r="5" spans="1:28" x14ac:dyDescent="0.3">
      <c r="A5" s="96"/>
      <c r="B5" s="98"/>
      <c r="C5" s="14">
        <f>1.72-0.63</f>
        <v>1.0899999999999999</v>
      </c>
      <c r="D5" s="14" t="s">
        <v>19</v>
      </c>
      <c r="E5" s="14">
        <v>3.4000000000000002E-2</v>
      </c>
      <c r="F5" s="65"/>
      <c r="G5" s="32">
        <f t="shared" si="0"/>
        <v>3.1192660550458724</v>
      </c>
      <c r="H5" s="79"/>
      <c r="I5" s="32">
        <f t="shared" si="1"/>
        <v>1.0559999999999998</v>
      </c>
      <c r="J5" s="93"/>
      <c r="K5" s="38">
        <f t="shared" si="2"/>
        <v>96.880733944954116</v>
      </c>
      <c r="L5" s="79"/>
      <c r="M5" s="44">
        <v>0</v>
      </c>
      <c r="N5" s="100"/>
      <c r="O5" s="46">
        <v>0</v>
      </c>
      <c r="P5" s="100"/>
      <c r="Q5" s="46"/>
      <c r="R5" s="45"/>
      <c r="S5" s="46"/>
      <c r="T5" s="46"/>
      <c r="U5" s="47"/>
      <c r="V5" s="46"/>
      <c r="W5" s="47"/>
      <c r="X5" s="43"/>
      <c r="Z5" s="111">
        <f t="shared" si="3"/>
        <v>31.058823529411757</v>
      </c>
    </row>
    <row r="6" spans="1:28" x14ac:dyDescent="0.3">
      <c r="A6" s="96"/>
      <c r="B6" s="88">
        <v>15</v>
      </c>
      <c r="C6" s="16">
        <f>1.621-0.633</f>
        <v>0.98799999999999999</v>
      </c>
      <c r="D6" s="12">
        <v>1.2769999999999999</v>
      </c>
      <c r="E6" s="16">
        <v>3.1E-2</v>
      </c>
      <c r="F6" s="91">
        <f>AVERAGE(E6:E8)</f>
        <v>3.1666666666666669E-2</v>
      </c>
      <c r="G6" s="18">
        <f t="shared" si="0"/>
        <v>3.1376518218623484</v>
      </c>
      <c r="H6" s="78">
        <f>AVERAGE(G6:G8)</f>
        <v>3.142045673751467</v>
      </c>
      <c r="I6" s="18">
        <f t="shared" si="1"/>
        <v>0.95699999999999996</v>
      </c>
      <c r="J6" s="87">
        <f>AVERAGE(I6:I8)</f>
        <v>0.97633333333333328</v>
      </c>
      <c r="K6" s="37">
        <f t="shared" si="2"/>
        <v>96.862348178137651</v>
      </c>
      <c r="L6" s="78">
        <f>AVERAGE(K6:K8)</f>
        <v>96.857954326248546</v>
      </c>
      <c r="M6" s="48">
        <f>D6-C6</f>
        <v>0.28899999999999992</v>
      </c>
      <c r="N6" s="87">
        <f>AVERAGE(M6:M8)</f>
        <v>0.21299999999999994</v>
      </c>
      <c r="O6" s="37">
        <f>M6/C6</f>
        <v>0.29251012145748978</v>
      </c>
      <c r="P6" s="87">
        <f>AVERAGE(O6:O8)</f>
        <v>0.21232874996609974</v>
      </c>
      <c r="Q6" s="37">
        <f>D6-E6</f>
        <v>1.246</v>
      </c>
      <c r="R6" s="87">
        <f>AVERAGE(Q6:Q8)</f>
        <v>1.1893333333333334</v>
      </c>
      <c r="S6" s="37">
        <f>Q6*100/D6</f>
        <v>97.572435395458101</v>
      </c>
      <c r="T6" s="78">
        <f>AVERAGE(S6,S8)</f>
        <v>97.440731586617943</v>
      </c>
      <c r="U6" s="18">
        <f t="shared" ref="U6:U16" si="4">E6*100/D6</f>
        <v>2.4275646045418955</v>
      </c>
      <c r="V6" s="78">
        <f>AVERAGE(U6,U8)</f>
        <v>2.5592684133820587</v>
      </c>
      <c r="W6" s="80">
        <f>F6-$F$3</f>
        <v>-3.333333333333334E-3</v>
      </c>
      <c r="X6" s="82">
        <f>-W6*100/$F$3</f>
        <v>9.5238095238095237</v>
      </c>
      <c r="Z6" s="110">
        <f t="shared" ref="Z4:Z17" si="5">(D6-E6)/E6</f>
        <v>40.193548387096776</v>
      </c>
    </row>
    <row r="7" spans="1:28" x14ac:dyDescent="0.3">
      <c r="A7" s="96"/>
      <c r="B7" s="63"/>
      <c r="C7" s="12">
        <f>1.633-0.622</f>
        <v>1.0110000000000001</v>
      </c>
      <c r="D7" s="12">
        <v>1.234</v>
      </c>
      <c r="E7" s="12">
        <v>3.3000000000000002E-2</v>
      </c>
      <c r="F7" s="67"/>
      <c r="G7" s="35">
        <f t="shared" si="0"/>
        <v>3.2640949554896141</v>
      </c>
      <c r="H7" s="67"/>
      <c r="I7" s="35">
        <f t="shared" si="1"/>
        <v>0.97800000000000009</v>
      </c>
      <c r="J7" s="67"/>
      <c r="K7" s="35">
        <f t="shared" si="2"/>
        <v>96.735905044510389</v>
      </c>
      <c r="L7" s="67"/>
      <c r="M7" s="49">
        <f>D7-C7</f>
        <v>0.22299999999999986</v>
      </c>
      <c r="N7" s="67"/>
      <c r="O7" s="35">
        <f>M7/C7</f>
        <v>0.22057368941641922</v>
      </c>
      <c r="P7" s="67"/>
      <c r="Q7" s="35">
        <f>D7-E7</f>
        <v>1.2010000000000001</v>
      </c>
      <c r="R7" s="67"/>
      <c r="S7" s="35">
        <f>Q7*100/D7</f>
        <v>97.325769854132915</v>
      </c>
      <c r="T7" s="67"/>
      <c r="U7" s="35">
        <f t="shared" si="4"/>
        <v>2.674230145867099</v>
      </c>
      <c r="V7" s="67"/>
      <c r="W7" s="69"/>
      <c r="X7" s="71"/>
      <c r="Y7">
        <v>15</v>
      </c>
      <c r="Z7" s="111">
        <f t="shared" si="5"/>
        <v>36.393939393939391</v>
      </c>
      <c r="AA7">
        <f t="shared" ref="AA5:AA18" si="6">AVERAGE(Z6:Z8)</f>
        <v>37.582926034538936</v>
      </c>
      <c r="AB7">
        <f t="shared" ref="AB5:AB16" si="7">_xlfn.STDEV.S(Z6:Z8)</f>
        <v>2.263855825435221</v>
      </c>
    </row>
    <row r="8" spans="1:28" x14ac:dyDescent="0.3">
      <c r="A8" s="96"/>
      <c r="B8" s="98"/>
      <c r="C8" s="14">
        <f>1.651-0.626</f>
        <v>1.0249999999999999</v>
      </c>
      <c r="D8" s="14">
        <v>1.1519999999999999</v>
      </c>
      <c r="E8" s="14">
        <v>3.1E-2</v>
      </c>
      <c r="F8" s="92"/>
      <c r="G8" s="32">
        <f t="shared" si="0"/>
        <v>3.0243902439024395</v>
      </c>
      <c r="H8" s="79"/>
      <c r="I8" s="32">
        <f t="shared" si="1"/>
        <v>0.99399999999999988</v>
      </c>
      <c r="J8" s="93"/>
      <c r="K8" s="38">
        <f t="shared" si="2"/>
        <v>96.975609756097555</v>
      </c>
      <c r="L8" s="79"/>
      <c r="M8" s="50">
        <f t="shared" ref="M8:M15" si="8">D8-C8</f>
        <v>0.127</v>
      </c>
      <c r="N8" s="93"/>
      <c r="O8" s="38">
        <f t="shared" ref="O8:O16" si="9">M8/C8</f>
        <v>0.12390243902439026</v>
      </c>
      <c r="P8" s="93"/>
      <c r="Q8" s="38">
        <f t="shared" ref="Q8:Q16" si="10">D8-E8</f>
        <v>1.121</v>
      </c>
      <c r="R8" s="93"/>
      <c r="S8" s="38">
        <f t="shared" ref="S8:S16" si="11">Q8*100/D8</f>
        <v>97.309027777777786</v>
      </c>
      <c r="T8" s="79"/>
      <c r="U8" s="32">
        <f t="shared" si="4"/>
        <v>2.6909722222222223</v>
      </c>
      <c r="V8" s="79"/>
      <c r="W8" s="81"/>
      <c r="X8" s="83"/>
      <c r="Z8" s="111">
        <f t="shared" si="5"/>
        <v>36.161290322580648</v>
      </c>
    </row>
    <row r="9" spans="1:28" x14ac:dyDescent="0.3">
      <c r="A9" s="96"/>
      <c r="B9" s="88">
        <v>30</v>
      </c>
      <c r="C9" s="12">
        <f>1.6-0.61</f>
        <v>0.9900000000000001</v>
      </c>
      <c r="D9" s="24">
        <v>1.4390000000000001</v>
      </c>
      <c r="E9" s="12">
        <v>3.1E-2</v>
      </c>
      <c r="F9" s="65">
        <f>AVERAGE(E9:E11)</f>
        <v>3.2333333333333332E-2</v>
      </c>
      <c r="G9" s="19">
        <f t="shared" si="0"/>
        <v>3.131313131313131</v>
      </c>
      <c r="H9" s="78">
        <f t="shared" ref="H9" si="12">AVERAGE(G9:G11)</f>
        <v>3.2168108712246894</v>
      </c>
      <c r="I9" s="19">
        <f t="shared" si="1"/>
        <v>0.95900000000000007</v>
      </c>
      <c r="J9" s="87">
        <f t="shared" ref="J9" si="13">AVERAGE(I9:I11)</f>
        <v>0.97266666666666668</v>
      </c>
      <c r="K9" s="21">
        <f t="shared" si="2"/>
        <v>96.868686868686865</v>
      </c>
      <c r="L9" s="78">
        <f>AVERAGE(K9:K11)</f>
        <v>96.783189128775305</v>
      </c>
      <c r="M9" s="48">
        <f t="shared" si="8"/>
        <v>0.44899999999999995</v>
      </c>
      <c r="N9" s="87">
        <f t="shared" ref="N9" si="14">AVERAGE(M9:M11)</f>
        <v>0.39200000000000007</v>
      </c>
      <c r="O9" s="21">
        <f t="shared" si="9"/>
        <v>0.45353535353535346</v>
      </c>
      <c r="P9" s="65">
        <f t="shared" ref="P9" si="15">AVERAGE(O9:O11)</f>
        <v>0.3907932165736106</v>
      </c>
      <c r="Q9" s="21">
        <f t="shared" si="10"/>
        <v>1.4080000000000001</v>
      </c>
      <c r="R9" s="65">
        <f t="shared" ref="R9" si="16">AVERAGE(Q9:Q11)</f>
        <v>1.3646666666666667</v>
      </c>
      <c r="S9" s="21">
        <f t="shared" si="11"/>
        <v>97.845726198749134</v>
      </c>
      <c r="T9" s="67">
        <f t="shared" ref="T9" si="17">AVERAGE(S9,S11)</f>
        <v>97.731500478376802</v>
      </c>
      <c r="U9" s="19">
        <f t="shared" si="4"/>
        <v>2.1542738012508686</v>
      </c>
      <c r="V9" s="67">
        <f t="shared" ref="V9" si="18">AVERAGE(U9,U11)</f>
        <v>2.2684995216232009</v>
      </c>
      <c r="W9" s="69">
        <f t="shared" ref="W9" si="19">F9-$F$3</f>
        <v>-2.6666666666666713E-3</v>
      </c>
      <c r="X9" s="84">
        <f t="shared" ref="X9" si="20">-W9*100/$F$3</f>
        <v>7.6190476190476328</v>
      </c>
      <c r="Z9" s="110">
        <f t="shared" si="5"/>
        <v>45.41935483870968</v>
      </c>
    </row>
    <row r="10" spans="1:28" x14ac:dyDescent="0.3">
      <c r="A10" s="96"/>
      <c r="B10" s="63"/>
      <c r="C10" s="12">
        <f>1.677-0.631</f>
        <v>1.046</v>
      </c>
      <c r="D10" s="12">
        <v>1.409</v>
      </c>
      <c r="E10" s="12">
        <v>3.4000000000000002E-2</v>
      </c>
      <c r="F10" s="65"/>
      <c r="G10" s="19">
        <f t="shared" si="0"/>
        <v>3.2504780114722753</v>
      </c>
      <c r="H10" s="67"/>
      <c r="I10" s="19">
        <f t="shared" si="1"/>
        <v>1.012</v>
      </c>
      <c r="J10" s="65"/>
      <c r="K10" s="21">
        <f t="shared" si="2"/>
        <v>96.749521988527718</v>
      </c>
      <c r="L10" s="67"/>
      <c r="M10" s="49">
        <f>D10-C10</f>
        <v>0.36299999999999999</v>
      </c>
      <c r="N10" s="65"/>
      <c r="O10" s="21">
        <f t="shared" si="9"/>
        <v>0.3470363288718929</v>
      </c>
      <c r="P10" s="65"/>
      <c r="Q10" s="21">
        <f t="shared" si="10"/>
        <v>1.375</v>
      </c>
      <c r="R10" s="65"/>
      <c r="S10" s="21">
        <f t="shared" si="11"/>
        <v>97.586941092973731</v>
      </c>
      <c r="T10" s="67"/>
      <c r="U10" s="19">
        <f t="shared" si="4"/>
        <v>2.4130589070262598</v>
      </c>
      <c r="V10" s="67"/>
      <c r="W10" s="69"/>
      <c r="X10" s="61"/>
      <c r="Y10">
        <v>30</v>
      </c>
      <c r="Z10" s="111">
        <f t="shared" si="5"/>
        <v>40.441176470588232</v>
      </c>
      <c r="AA10">
        <f t="shared" si="6"/>
        <v>42.276427103099302</v>
      </c>
      <c r="AB10">
        <f t="shared" si="7"/>
        <v>2.7346077453056625</v>
      </c>
    </row>
    <row r="11" spans="1:28" x14ac:dyDescent="0.3">
      <c r="A11" s="96"/>
      <c r="B11" s="63"/>
      <c r="C11" s="12">
        <f>1.632-0.653</f>
        <v>0.97899999999999987</v>
      </c>
      <c r="D11" s="27">
        <v>1.343</v>
      </c>
      <c r="E11" s="12">
        <v>3.2000000000000001E-2</v>
      </c>
      <c r="F11" s="65"/>
      <c r="G11" s="19">
        <f t="shared" si="0"/>
        <v>3.2686414708886624</v>
      </c>
      <c r="H11" s="67"/>
      <c r="I11" s="19">
        <f t="shared" si="1"/>
        <v>0.94699999999999984</v>
      </c>
      <c r="J11" s="65"/>
      <c r="K11" s="21">
        <f t="shared" si="2"/>
        <v>96.731358529111333</v>
      </c>
      <c r="L11" s="67"/>
      <c r="M11" s="49">
        <f t="shared" si="8"/>
        <v>0.3640000000000001</v>
      </c>
      <c r="N11" s="65"/>
      <c r="O11" s="21">
        <f t="shared" si="9"/>
        <v>0.37180796731358545</v>
      </c>
      <c r="P11" s="65"/>
      <c r="Q11" s="21">
        <f t="shared" si="10"/>
        <v>1.3109999999999999</v>
      </c>
      <c r="R11" s="65"/>
      <c r="S11" s="21">
        <f t="shared" si="11"/>
        <v>97.61727475800447</v>
      </c>
      <c r="T11" s="67"/>
      <c r="U11" s="19">
        <f t="shared" si="4"/>
        <v>2.3827252419955327</v>
      </c>
      <c r="V11" s="67"/>
      <c r="W11" s="69"/>
      <c r="X11" s="61"/>
      <c r="Z11" s="111">
        <f t="shared" si="5"/>
        <v>40.96875</v>
      </c>
    </row>
    <row r="12" spans="1:28" x14ac:dyDescent="0.3">
      <c r="A12" s="96"/>
      <c r="B12" s="85">
        <v>60</v>
      </c>
      <c r="C12" s="24">
        <f>1.71-0.646</f>
        <v>1.0640000000000001</v>
      </c>
      <c r="D12" s="58">
        <v>1.5409999999999999</v>
      </c>
      <c r="E12" s="24">
        <v>2.9000000000000001E-2</v>
      </c>
      <c r="F12" s="73">
        <f>AVERAGE(E12:E14)</f>
        <v>2.8333333333333335E-2</v>
      </c>
      <c r="G12" s="25">
        <f t="shared" ref="G12" si="21">E12*100/C12</f>
        <v>2.7255639097744364</v>
      </c>
      <c r="H12" s="73">
        <f>AVERAGE(G12:G14)</f>
        <v>2.7446259449740098</v>
      </c>
      <c r="I12" s="25">
        <f t="shared" si="1"/>
        <v>1.0350000000000001</v>
      </c>
      <c r="J12" s="73">
        <f>AVERAGE(I12:I14)</f>
        <v>1.0043333333333333</v>
      </c>
      <c r="K12" s="25">
        <f t="shared" si="2"/>
        <v>97.274436090225578</v>
      </c>
      <c r="L12" s="78">
        <f>AVERAGE(K12:K14)</f>
        <v>97.255374055025982</v>
      </c>
      <c r="M12" s="48">
        <f t="shared" si="8"/>
        <v>0.47699999999999987</v>
      </c>
      <c r="N12" s="73">
        <f>AVERAGE(M12:M14)</f>
        <v>0.57833333333333325</v>
      </c>
      <c r="O12" s="25">
        <f t="shared" si="9"/>
        <v>0.4483082706766916</v>
      </c>
      <c r="P12" s="73">
        <f>AVERAGE(O12:O14)</f>
        <v>0.56241842555258847</v>
      </c>
      <c r="Q12" s="25">
        <f t="shared" si="10"/>
        <v>1.512</v>
      </c>
      <c r="R12" s="73">
        <f>AVERAGE(Q12:Q14)</f>
        <v>1.5826666666666667</v>
      </c>
      <c r="S12" s="25">
        <f t="shared" si="11"/>
        <v>98.118105126541209</v>
      </c>
      <c r="T12" s="73">
        <f>AVERAGE(S12,S14)</f>
        <v>98.196452440042009</v>
      </c>
      <c r="U12" s="25">
        <f t="shared" si="4"/>
        <v>1.8818948734587932</v>
      </c>
      <c r="V12" s="73">
        <f>AVERAGE(U12,U14)</f>
        <v>1.8035475599579858</v>
      </c>
      <c r="W12" s="76">
        <f t="shared" ref="W12" si="22">F12-$F$3</f>
        <v>-6.666666666666668E-3</v>
      </c>
      <c r="X12" s="60">
        <f t="shared" ref="X12" si="23">-W12*100/$F$3</f>
        <v>19.047619047619047</v>
      </c>
      <c r="Z12" s="110">
        <f t="shared" si="5"/>
        <v>52.137931034482754</v>
      </c>
    </row>
    <row r="13" spans="1:28" x14ac:dyDescent="0.3">
      <c r="A13" s="96"/>
      <c r="B13" s="63"/>
      <c r="C13" s="12">
        <f>1.653-0.655</f>
        <v>0.998</v>
      </c>
      <c r="D13" s="12">
        <v>1.669</v>
      </c>
      <c r="E13" s="12">
        <v>2.8000000000000001E-2</v>
      </c>
      <c r="F13" s="67"/>
      <c r="G13" s="35">
        <f>E13*100/C13</f>
        <v>2.8056112224448899</v>
      </c>
      <c r="H13" s="67"/>
      <c r="I13" s="35">
        <f t="shared" si="1"/>
        <v>0.97</v>
      </c>
      <c r="J13" s="67"/>
      <c r="K13" s="35">
        <f t="shared" si="2"/>
        <v>97.194388777555105</v>
      </c>
      <c r="L13" s="67"/>
      <c r="M13" s="49">
        <f>D13-C13</f>
        <v>0.67100000000000004</v>
      </c>
      <c r="N13" s="67"/>
      <c r="O13" s="35">
        <f t="shared" si="9"/>
        <v>0.67234468937875758</v>
      </c>
      <c r="P13" s="67"/>
      <c r="Q13" s="35">
        <f t="shared" si="10"/>
        <v>1.641</v>
      </c>
      <c r="R13" s="67"/>
      <c r="S13" s="35">
        <f t="shared" si="11"/>
        <v>98.322348711803471</v>
      </c>
      <c r="T13" s="67"/>
      <c r="U13" s="35">
        <f t="shared" si="4"/>
        <v>1.6776512881965251</v>
      </c>
      <c r="V13" s="74"/>
      <c r="W13" s="67"/>
      <c r="X13" s="61"/>
      <c r="Y13">
        <v>60</v>
      </c>
      <c r="Z13" s="111">
        <f t="shared" si="5"/>
        <v>58.607142857142854</v>
      </c>
      <c r="AA13">
        <f t="shared" si="6"/>
        <v>55.903119868637106</v>
      </c>
      <c r="AB13">
        <f t="shared" si="7"/>
        <v>3.3626225056627521</v>
      </c>
    </row>
    <row r="14" spans="1:28" x14ac:dyDescent="0.3">
      <c r="A14" s="96"/>
      <c r="B14" s="86"/>
      <c r="C14" s="27">
        <f>1.707-0.671</f>
        <v>1.036</v>
      </c>
      <c r="D14" s="12">
        <v>1.623</v>
      </c>
      <c r="E14" s="27">
        <v>2.8000000000000001E-2</v>
      </c>
      <c r="F14" s="77"/>
      <c r="G14" s="57">
        <f>E14*100/C14</f>
        <v>2.7027027027027031</v>
      </c>
      <c r="H14" s="75"/>
      <c r="I14" s="28">
        <f t="shared" si="1"/>
        <v>1.008</v>
      </c>
      <c r="J14" s="75"/>
      <c r="K14" s="28">
        <f t="shared" si="2"/>
        <v>97.297297297297291</v>
      </c>
      <c r="L14" s="79"/>
      <c r="M14" s="49">
        <f t="shared" si="8"/>
        <v>0.58699999999999997</v>
      </c>
      <c r="N14" s="75"/>
      <c r="O14" s="28">
        <f t="shared" si="9"/>
        <v>0.56660231660231652</v>
      </c>
      <c r="P14" s="75"/>
      <c r="Q14" s="28">
        <f t="shared" si="10"/>
        <v>1.595</v>
      </c>
      <c r="R14" s="75"/>
      <c r="S14" s="28">
        <f t="shared" si="11"/>
        <v>98.274799753542823</v>
      </c>
      <c r="T14" s="75"/>
      <c r="U14" s="28">
        <f t="shared" si="4"/>
        <v>1.7252002464571783</v>
      </c>
      <c r="V14" s="75"/>
      <c r="W14" s="77"/>
      <c r="X14" s="62"/>
      <c r="Z14" s="111">
        <f t="shared" si="5"/>
        <v>56.964285714285715</v>
      </c>
    </row>
    <row r="15" spans="1:28" x14ac:dyDescent="0.3">
      <c r="A15" s="96"/>
      <c r="B15" s="63">
        <v>180</v>
      </c>
      <c r="C15" s="12">
        <f>1.591-0.622</f>
        <v>0.96899999999999997</v>
      </c>
      <c r="D15" s="16">
        <v>2.17</v>
      </c>
      <c r="E15" s="12">
        <v>2.4E-2</v>
      </c>
      <c r="F15" s="65">
        <f>AVERAGE(E15:E17)</f>
        <v>2.1000000000000001E-2</v>
      </c>
      <c r="G15" s="19">
        <f>E15*100/C15</f>
        <v>2.4767801857585141</v>
      </c>
      <c r="H15" s="67">
        <f>AVERAGE(G15:G17)</f>
        <v>2.0453402146092254</v>
      </c>
      <c r="I15" s="19">
        <f t="shared" si="1"/>
        <v>0.94499999999999995</v>
      </c>
      <c r="J15" s="65">
        <f>AVERAGE(I15:I17)</f>
        <v>1.0116666666666667</v>
      </c>
      <c r="K15" s="21">
        <f t="shared" si="2"/>
        <v>97.523219814241486</v>
      </c>
      <c r="L15" s="67">
        <f>AVERAGE(K15:K17)</f>
        <v>97.954659785390774</v>
      </c>
      <c r="M15" s="51">
        <f t="shared" si="8"/>
        <v>1.2010000000000001</v>
      </c>
      <c r="N15" s="65">
        <f>AVERAGE(M15:M16)</f>
        <v>0.77450000000000008</v>
      </c>
      <c r="O15" s="21">
        <f t="shared" si="9"/>
        <v>1.239422084623323</v>
      </c>
      <c r="P15" s="65">
        <f>AVERAGE(O15:O16)</f>
        <v>0.78432788242519047</v>
      </c>
      <c r="Q15" s="21">
        <f t="shared" si="10"/>
        <v>2.1459999999999999</v>
      </c>
      <c r="R15" s="65">
        <f>AVERAGE(Q15:Q17)</f>
        <v>1.7675000000000001</v>
      </c>
      <c r="S15" s="21">
        <f t="shared" si="11"/>
        <v>98.894009216589865</v>
      </c>
      <c r="T15" s="67">
        <f>AVERAGE(S15,S17)</f>
        <v>98.894009216589865</v>
      </c>
      <c r="U15" s="19">
        <f t="shared" si="4"/>
        <v>1.1059907834101383</v>
      </c>
      <c r="V15" s="67">
        <f>AVERAGE(U15,U17)</f>
        <v>1.1059907834101383</v>
      </c>
      <c r="W15" s="69">
        <f t="shared" ref="W15" si="24">F15-$F$3</f>
        <v>-1.4000000000000002E-2</v>
      </c>
      <c r="X15" s="71">
        <f t="shared" ref="X15" si="25">-W15*100/$F$3</f>
        <v>40</v>
      </c>
      <c r="Z15" s="110">
        <f t="shared" si="5"/>
        <v>89.416666666666657</v>
      </c>
    </row>
    <row r="16" spans="1:28" x14ac:dyDescent="0.3">
      <c r="A16" s="96"/>
      <c r="B16" s="63"/>
      <c r="C16" s="12">
        <f>1.692-0.635</f>
        <v>1.0569999999999999</v>
      </c>
      <c r="D16" s="12">
        <v>1.405</v>
      </c>
      <c r="E16" s="12">
        <v>1.6E-2</v>
      </c>
      <c r="F16" s="65"/>
      <c r="G16" s="19">
        <f>E16*100/C16</f>
        <v>1.513718070009461</v>
      </c>
      <c r="H16" s="67"/>
      <c r="I16" s="19">
        <f t="shared" si="1"/>
        <v>1.0409999999999999</v>
      </c>
      <c r="J16" s="65"/>
      <c r="K16" s="21">
        <f t="shared" si="2"/>
        <v>98.48628192999054</v>
      </c>
      <c r="L16" s="67"/>
      <c r="M16" s="49">
        <f>D16-C16</f>
        <v>0.34800000000000009</v>
      </c>
      <c r="N16" s="65"/>
      <c r="O16" s="21">
        <f t="shared" si="9"/>
        <v>0.32923368022705779</v>
      </c>
      <c r="P16" s="67"/>
      <c r="Q16" s="35">
        <f t="shared" si="10"/>
        <v>1.389</v>
      </c>
      <c r="R16" s="65"/>
      <c r="S16" s="21">
        <f t="shared" si="11"/>
        <v>98.861209964412808</v>
      </c>
      <c r="T16" s="67"/>
      <c r="U16" s="19">
        <f t="shared" si="4"/>
        <v>1.1387900355871887</v>
      </c>
      <c r="V16" s="67"/>
      <c r="W16" s="69"/>
      <c r="X16" s="71"/>
      <c r="Y16">
        <v>180</v>
      </c>
      <c r="Z16" s="111">
        <f t="shared" si="5"/>
        <v>86.8125</v>
      </c>
      <c r="AA16">
        <f>AVERAGE(Z15:Z16)</f>
        <v>88.114583333333329</v>
      </c>
      <c r="AB16">
        <f>_xlfn.STDEV.S(Z15:Z16)</f>
        <v>1.8414239093399609</v>
      </c>
    </row>
    <row r="17" spans="1:26" x14ac:dyDescent="0.3">
      <c r="A17" s="97"/>
      <c r="B17" s="64"/>
      <c r="C17" s="8">
        <f>1.792-0.72</f>
        <v>1.0720000000000001</v>
      </c>
      <c r="D17" s="8" t="s">
        <v>19</v>
      </c>
      <c r="E17" s="8">
        <v>2.3E-2</v>
      </c>
      <c r="F17" s="66"/>
      <c r="G17" s="23">
        <f>E17*100/C17</f>
        <v>2.1455223880597014</v>
      </c>
      <c r="H17" s="68"/>
      <c r="I17" s="23">
        <f>C17-E17</f>
        <v>1.0490000000000002</v>
      </c>
      <c r="J17" s="66"/>
      <c r="K17" s="22">
        <f>I17*100/C17</f>
        <v>97.854477611940311</v>
      </c>
      <c r="L17" s="68"/>
      <c r="M17" s="52" t="s">
        <v>19</v>
      </c>
      <c r="N17" s="66"/>
      <c r="O17" s="22" t="s">
        <v>19</v>
      </c>
      <c r="P17" s="66"/>
      <c r="Q17" s="22" t="s">
        <v>19</v>
      </c>
      <c r="R17" s="66"/>
      <c r="S17" s="22" t="s">
        <v>19</v>
      </c>
      <c r="T17" s="68"/>
      <c r="U17" s="23" t="s">
        <v>19</v>
      </c>
      <c r="V17" s="68"/>
      <c r="W17" s="70"/>
      <c r="X17" s="72"/>
      <c r="Z17" s="112" t="e">
        <f t="shared" si="5"/>
        <v>#VALUE!</v>
      </c>
    </row>
  </sheetData>
  <mergeCells count="63"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F6:F8"/>
    <mergeCell ref="H6:H8"/>
    <mergeCell ref="J6:J8"/>
    <mergeCell ref="L6:L8"/>
    <mergeCell ref="N6:N8"/>
    <mergeCell ref="R6:R8"/>
    <mergeCell ref="T6:T8"/>
    <mergeCell ref="B9:B11"/>
    <mergeCell ref="F9:F11"/>
    <mergeCell ref="H9:H11"/>
    <mergeCell ref="J9:J11"/>
    <mergeCell ref="L9:L11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V12:V14"/>
    <mergeCell ref="W12:W14"/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DEF0-CFE7-49E6-BE92-31AADA05D206}">
  <dimension ref="A1:AB17"/>
  <sheetViews>
    <sheetView workbookViewId="0">
      <selection activeCell="Y1" sqref="Y1:AB17"/>
    </sheetView>
  </sheetViews>
  <sheetFormatPr defaultRowHeight="14.4" x14ac:dyDescent="0.3"/>
  <cols>
    <col min="1" max="1" width="13.6640625" customWidth="1"/>
    <col min="2" max="2" width="16.44140625" customWidth="1"/>
    <col min="3" max="3" width="19.6640625" customWidth="1"/>
    <col min="4" max="4" width="18" customWidth="1"/>
    <col min="6" max="6" width="11.5546875" customWidth="1"/>
    <col min="9" max="9" width="12.33203125" customWidth="1"/>
    <col min="12" max="12" width="11.109375" customWidth="1"/>
  </cols>
  <sheetData>
    <row r="1" spans="1:28" x14ac:dyDescent="0.3">
      <c r="A1" s="1" t="s">
        <v>0</v>
      </c>
      <c r="B1" s="2" t="s">
        <v>1</v>
      </c>
      <c r="C1" s="3" t="s">
        <v>2</v>
      </c>
      <c r="D1" s="3" t="s">
        <v>3</v>
      </c>
      <c r="E1" s="101" t="s">
        <v>4</v>
      </c>
      <c r="F1" s="102"/>
      <c r="G1" s="89" t="s">
        <v>5</v>
      </c>
      <c r="H1" s="90"/>
      <c r="I1" s="90" t="s">
        <v>6</v>
      </c>
      <c r="J1" s="90"/>
      <c r="K1" s="90"/>
      <c r="L1" s="103"/>
      <c r="M1" s="90" t="s">
        <v>7</v>
      </c>
      <c r="N1" s="90"/>
      <c r="O1" s="90"/>
      <c r="P1" s="90"/>
      <c r="Q1" s="89" t="s">
        <v>8</v>
      </c>
      <c r="R1" s="90"/>
      <c r="S1" s="90"/>
      <c r="T1" s="90"/>
      <c r="U1" s="89" t="s">
        <v>9</v>
      </c>
      <c r="V1" s="90"/>
      <c r="W1" s="89" t="s">
        <v>10</v>
      </c>
      <c r="X1" s="94"/>
      <c r="Y1" t="s">
        <v>24</v>
      </c>
      <c r="Z1" t="s">
        <v>21</v>
      </c>
      <c r="AA1" t="s">
        <v>22</v>
      </c>
      <c r="AB1" t="s">
        <v>23</v>
      </c>
    </row>
    <row r="2" spans="1:28" x14ac:dyDescent="0.3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8" x14ac:dyDescent="0.3">
      <c r="A3" s="95">
        <v>65</v>
      </c>
      <c r="B3" s="63">
        <v>0</v>
      </c>
      <c r="C3" s="12">
        <f>1.599-0.581</f>
        <v>1.018</v>
      </c>
      <c r="D3" s="12" t="s">
        <v>19</v>
      </c>
      <c r="E3" s="12">
        <v>3.7999999999999999E-2</v>
      </c>
      <c r="F3" s="65">
        <f>AVERAGE(E3:E5)</f>
        <v>3.6333333333333336E-2</v>
      </c>
      <c r="G3" s="13">
        <f t="shared" ref="G3:G11" si="0">E3*100/C3</f>
        <v>3.7328094302554025</v>
      </c>
      <c r="H3" s="104">
        <f>AVERAGE(G3:G5)</f>
        <v>3.5798521722469281</v>
      </c>
      <c r="I3" s="19">
        <f>C3-E3</f>
        <v>0.98</v>
      </c>
      <c r="J3" s="65">
        <f>AVERAGE(I3:I5)</f>
        <v>0.97866666666666668</v>
      </c>
      <c r="K3" s="30">
        <f>I3*100/C3</f>
        <v>96.267190569744599</v>
      </c>
      <c r="L3" s="67">
        <f>AVERAGE(K3:K5)</f>
        <v>96.42014782775307</v>
      </c>
      <c r="M3" s="39">
        <v>0</v>
      </c>
      <c r="N3" s="99">
        <v>0</v>
      </c>
      <c r="O3" s="41">
        <v>0</v>
      </c>
      <c r="P3" s="99">
        <v>0</v>
      </c>
      <c r="Q3" s="41"/>
      <c r="R3" s="40"/>
      <c r="S3" s="41"/>
      <c r="T3" s="41"/>
      <c r="U3" s="42"/>
      <c r="V3" s="41"/>
      <c r="W3" s="42"/>
      <c r="X3" s="43"/>
      <c r="Z3" s="110">
        <f>(C3-E3)/E3</f>
        <v>25.789473684210527</v>
      </c>
    </row>
    <row r="4" spans="1:28" x14ac:dyDescent="0.3">
      <c r="A4" s="96"/>
      <c r="B4" s="63"/>
      <c r="C4" s="12">
        <f>1.633-0.611</f>
        <v>1.022</v>
      </c>
      <c r="D4" s="12" t="s">
        <v>19</v>
      </c>
      <c r="E4" s="12">
        <v>3.5000000000000003E-2</v>
      </c>
      <c r="F4" s="65"/>
      <c r="G4" s="13">
        <f t="shared" si="0"/>
        <v>3.4246575342465757</v>
      </c>
      <c r="H4" s="104"/>
      <c r="I4" s="19">
        <f t="shared" ref="I4:I17" si="1">C4-E4</f>
        <v>0.98699999999999999</v>
      </c>
      <c r="J4" s="65"/>
      <c r="K4" s="30">
        <f t="shared" ref="K4:K17" si="2">I4*100/C4</f>
        <v>96.575342465753423</v>
      </c>
      <c r="L4" s="67"/>
      <c r="M4" s="39">
        <v>0</v>
      </c>
      <c r="N4" s="99"/>
      <c r="O4" s="41">
        <v>0</v>
      </c>
      <c r="P4" s="99"/>
      <c r="Q4" s="41"/>
      <c r="R4" s="40"/>
      <c r="S4" s="41"/>
      <c r="T4" s="41"/>
      <c r="U4" s="42"/>
      <c r="V4" s="41"/>
      <c r="W4" s="42"/>
      <c r="X4" s="43"/>
      <c r="Y4">
        <v>0</v>
      </c>
      <c r="Z4" s="111">
        <f t="shared" ref="Z4:Z5" si="3">(C4-E4)/E4</f>
        <v>28.199999999999996</v>
      </c>
      <c r="AA4">
        <f>AVERAGE(Z3:Z5)</f>
        <v>26.968713450292398</v>
      </c>
      <c r="AB4">
        <f>_xlfn.STDEV.S(Z3:Z5)</f>
        <v>1.2061056879654968</v>
      </c>
    </row>
    <row r="5" spans="1:28" x14ac:dyDescent="0.3">
      <c r="A5" s="96"/>
      <c r="B5" s="98"/>
      <c r="C5" s="14">
        <f>1.708-0.703</f>
        <v>1.0049999999999999</v>
      </c>
      <c r="D5" s="14" t="s">
        <v>19</v>
      </c>
      <c r="E5" s="14">
        <v>3.5999999999999997E-2</v>
      </c>
      <c r="F5" s="65"/>
      <c r="G5" s="15">
        <f t="shared" si="0"/>
        <v>3.5820895522388061</v>
      </c>
      <c r="H5" s="109"/>
      <c r="I5" s="32">
        <f t="shared" si="1"/>
        <v>0.96899999999999986</v>
      </c>
      <c r="J5" s="93"/>
      <c r="K5" s="53">
        <f t="shared" si="2"/>
        <v>96.417910447761201</v>
      </c>
      <c r="L5" s="79"/>
      <c r="M5" s="44">
        <v>0</v>
      </c>
      <c r="N5" s="100"/>
      <c r="O5" s="46">
        <v>0</v>
      </c>
      <c r="P5" s="100"/>
      <c r="Q5" s="46"/>
      <c r="R5" s="45"/>
      <c r="S5" s="46"/>
      <c r="T5" s="46"/>
      <c r="U5" s="47"/>
      <c r="V5" s="46"/>
      <c r="W5" s="47"/>
      <c r="X5" s="43"/>
      <c r="Z5" s="111">
        <f t="shared" si="3"/>
        <v>26.916666666666664</v>
      </c>
    </row>
    <row r="6" spans="1:28" x14ac:dyDescent="0.3">
      <c r="A6" s="96"/>
      <c r="B6" s="88">
        <v>15</v>
      </c>
      <c r="C6" s="16">
        <f>1.634-0.637</f>
        <v>0.99699999999999989</v>
      </c>
      <c r="D6" s="12">
        <v>1.052</v>
      </c>
      <c r="E6" s="16">
        <v>3.5000000000000003E-2</v>
      </c>
      <c r="F6" s="91">
        <f>AVERAGE(E6:E8)</f>
        <v>3.4333333333333334E-2</v>
      </c>
      <c r="G6" s="17">
        <f t="shared" si="0"/>
        <v>3.5105315947843541</v>
      </c>
      <c r="H6" s="108">
        <f>AVERAGE(G6:G8)</f>
        <v>3.4324006954247075</v>
      </c>
      <c r="I6" s="18">
        <f t="shared" si="1"/>
        <v>0.96199999999999986</v>
      </c>
      <c r="J6" s="87">
        <f>AVERAGE(I6:I8)</f>
        <v>0.96600000000000008</v>
      </c>
      <c r="K6" s="36">
        <f t="shared" si="2"/>
        <v>96.489468405215646</v>
      </c>
      <c r="L6" s="78">
        <f>AVERAGE(K6:K8)</f>
        <v>96.567599304575296</v>
      </c>
      <c r="M6" s="48">
        <f>D6-C6</f>
        <v>5.500000000000016E-2</v>
      </c>
      <c r="N6" s="87">
        <f>AVERAGE(M6:M8)</f>
        <v>8.1666666666666665E-2</v>
      </c>
      <c r="O6" s="37">
        <f>M6/C6</f>
        <v>5.5165496489468571E-2</v>
      </c>
      <c r="P6" s="87">
        <f>AVERAGE(O6:O8)</f>
        <v>8.1645495068746757E-2</v>
      </c>
      <c r="Q6" s="37">
        <f>D6-E6</f>
        <v>1.0170000000000001</v>
      </c>
      <c r="R6" s="87">
        <f>AVERAGE(Q6:Q8)</f>
        <v>1.0476666666666665</v>
      </c>
      <c r="S6" s="37">
        <f>Q6*100/D6</f>
        <v>96.673003802281386</v>
      </c>
      <c r="T6" s="78">
        <f>AVERAGE(S6,S8)</f>
        <v>96.795250767867799</v>
      </c>
      <c r="U6" s="18">
        <f t="shared" ref="U6:U17" si="4">E6*100/D6</f>
        <v>3.3269961977186315</v>
      </c>
      <c r="V6" s="78">
        <f>AVERAGE(U6,U8)</f>
        <v>3.2047492321322082</v>
      </c>
      <c r="W6" s="80">
        <f>F6-$F$3</f>
        <v>-2.0000000000000018E-3</v>
      </c>
      <c r="X6" s="82">
        <f>-W6*100/$F$3</f>
        <v>5.5045871559633071</v>
      </c>
      <c r="Z6" s="110">
        <f t="shared" ref="Z6:Z17" si="5">(D6-E6)/E6</f>
        <v>29.057142857142857</v>
      </c>
    </row>
    <row r="7" spans="1:28" x14ac:dyDescent="0.3">
      <c r="A7" s="96"/>
      <c r="B7" s="63"/>
      <c r="C7" s="12">
        <f>1.669-0.661</f>
        <v>1.008</v>
      </c>
      <c r="D7" s="12">
        <v>1.091</v>
      </c>
      <c r="E7" s="12">
        <v>3.4000000000000002E-2</v>
      </c>
      <c r="F7" s="67"/>
      <c r="G7" s="33">
        <f t="shared" si="0"/>
        <v>3.3730158730158735</v>
      </c>
      <c r="H7" s="104"/>
      <c r="I7" s="35">
        <f t="shared" si="1"/>
        <v>0.97399999999999998</v>
      </c>
      <c r="J7" s="67"/>
      <c r="K7" s="54">
        <f t="shared" si="2"/>
        <v>96.626984126984112</v>
      </c>
      <c r="L7" s="67"/>
      <c r="M7" s="49">
        <f>D7-C7</f>
        <v>8.2999999999999963E-2</v>
      </c>
      <c r="N7" s="67"/>
      <c r="O7" s="35">
        <f>M7/C7</f>
        <v>8.2341269841269799E-2</v>
      </c>
      <c r="P7" s="67"/>
      <c r="Q7" s="35">
        <f>D7-E7</f>
        <v>1.0569999999999999</v>
      </c>
      <c r="R7" s="67"/>
      <c r="S7" s="35">
        <f>Q7*100/D7</f>
        <v>96.883593033913826</v>
      </c>
      <c r="T7" s="67"/>
      <c r="U7" s="35">
        <f t="shared" si="4"/>
        <v>3.11640696608616</v>
      </c>
      <c r="V7" s="67"/>
      <c r="W7" s="69"/>
      <c r="X7" s="71"/>
      <c r="Y7">
        <v>15</v>
      </c>
      <c r="Z7" s="111">
        <f t="shared" si="5"/>
        <v>31.088235294117641</v>
      </c>
      <c r="AA7">
        <f t="shared" ref="AA7:AA17" si="6">AVERAGE(Z6:Z8)</f>
        <v>30.528851540616245</v>
      </c>
      <c r="AB7">
        <f t="shared" ref="AB7:AB17" si="7">_xlfn.STDEV.S(Z6:Z8)</f>
        <v>1.2866960422999434</v>
      </c>
    </row>
    <row r="8" spans="1:28" x14ac:dyDescent="0.3">
      <c r="A8" s="96"/>
      <c r="B8" s="98"/>
      <c r="C8" s="14">
        <f>1.588-0.592</f>
        <v>0.99600000000000011</v>
      </c>
      <c r="D8" s="14">
        <v>1.103</v>
      </c>
      <c r="E8" s="14">
        <v>3.4000000000000002E-2</v>
      </c>
      <c r="F8" s="92"/>
      <c r="G8" s="15">
        <f t="shared" si="0"/>
        <v>3.4136546184738954</v>
      </c>
      <c r="H8" s="109"/>
      <c r="I8" s="32">
        <f t="shared" si="1"/>
        <v>0.96200000000000008</v>
      </c>
      <c r="J8" s="93"/>
      <c r="K8" s="53">
        <f t="shared" si="2"/>
        <v>96.586345381526101</v>
      </c>
      <c r="L8" s="79"/>
      <c r="M8" s="50">
        <f t="shared" ref="M8:M17" si="8">D8-C8</f>
        <v>0.10699999999999987</v>
      </c>
      <c r="N8" s="93"/>
      <c r="O8" s="38">
        <f t="shared" ref="O8:O17" si="9">M8/C8</f>
        <v>0.10742971887550187</v>
      </c>
      <c r="P8" s="93"/>
      <c r="Q8" s="38">
        <f t="shared" ref="Q8:Q17" si="10">D8-E8</f>
        <v>1.069</v>
      </c>
      <c r="R8" s="93"/>
      <c r="S8" s="38">
        <f t="shared" ref="S8:S17" si="11">Q8*100/D8</f>
        <v>96.917497733454212</v>
      </c>
      <c r="T8" s="79"/>
      <c r="U8" s="32">
        <f t="shared" si="4"/>
        <v>3.0825022665457844</v>
      </c>
      <c r="V8" s="79"/>
      <c r="W8" s="81"/>
      <c r="X8" s="83"/>
      <c r="Z8" s="111">
        <f t="shared" si="5"/>
        <v>31.441176470588232</v>
      </c>
    </row>
    <row r="9" spans="1:28" x14ac:dyDescent="0.3">
      <c r="A9" s="96"/>
      <c r="B9" s="88">
        <v>30</v>
      </c>
      <c r="C9" s="12">
        <f>1.633-0.643</f>
        <v>0.99</v>
      </c>
      <c r="D9" s="24">
        <v>1.143</v>
      </c>
      <c r="E9" s="12">
        <v>3.2000000000000001E-2</v>
      </c>
      <c r="F9" s="65">
        <f>AVERAGE(E9:E11)</f>
        <v>3.1666666666666669E-2</v>
      </c>
      <c r="G9" s="13">
        <f t="shared" si="0"/>
        <v>3.2323232323232327</v>
      </c>
      <c r="H9" s="108">
        <f t="shared" ref="H9" si="12">AVERAGE(G9:G11)</f>
        <v>3.1788119288119288</v>
      </c>
      <c r="I9" s="19">
        <f t="shared" si="1"/>
        <v>0.95799999999999996</v>
      </c>
      <c r="J9" s="87">
        <f t="shared" ref="J9" si="13">AVERAGE(I9:I11)</f>
        <v>0.96433333333333326</v>
      </c>
      <c r="K9" s="30">
        <f t="shared" si="2"/>
        <v>96.767676767676761</v>
      </c>
      <c r="L9" s="78">
        <f>AVERAGE(K9:K11)</f>
        <v>96.821188071188075</v>
      </c>
      <c r="M9" s="48">
        <f t="shared" si="8"/>
        <v>0.15300000000000002</v>
      </c>
      <c r="N9" s="87">
        <f t="shared" ref="N9" si="14">AVERAGE(M9:M11)</f>
        <v>0.12766666666666668</v>
      </c>
      <c r="O9" s="21">
        <f t="shared" si="9"/>
        <v>0.15454545454545457</v>
      </c>
      <c r="P9" s="65">
        <f t="shared" ref="P9" si="15">AVERAGE(O9:O11)</f>
        <v>0.12840307840307838</v>
      </c>
      <c r="Q9" s="21">
        <f t="shared" si="10"/>
        <v>1.111</v>
      </c>
      <c r="R9" s="65">
        <f t="shared" ref="R9" si="16">AVERAGE(Q9:Q11)</f>
        <v>1.0919999999999999</v>
      </c>
      <c r="S9" s="21">
        <f t="shared" si="11"/>
        <v>97.200349956255465</v>
      </c>
      <c r="T9" s="67">
        <f t="shared" ref="T9" si="17">AVERAGE(S9,S11)</f>
        <v>97.10017497812774</v>
      </c>
      <c r="U9" s="19">
        <f t="shared" si="4"/>
        <v>2.7996500437445322</v>
      </c>
      <c r="V9" s="67">
        <f t="shared" ref="V9" si="18">AVERAGE(U9,U11)</f>
        <v>2.8998250218722661</v>
      </c>
      <c r="W9" s="69">
        <f t="shared" ref="W9" si="19">F9-$F$3</f>
        <v>-4.6666666666666662E-3</v>
      </c>
      <c r="X9" s="84">
        <f t="shared" ref="X9" si="20">-W9*100/$F$3</f>
        <v>12.844036697247704</v>
      </c>
      <c r="Z9" s="110">
        <f t="shared" si="5"/>
        <v>34.71875</v>
      </c>
    </row>
    <row r="10" spans="1:28" x14ac:dyDescent="0.3">
      <c r="A10" s="96"/>
      <c r="B10" s="63"/>
      <c r="C10" s="12">
        <f>1.641-0.651</f>
        <v>0.99</v>
      </c>
      <c r="D10" s="12">
        <v>1.1279999999999999</v>
      </c>
      <c r="E10" s="12">
        <v>0.03</v>
      </c>
      <c r="F10" s="65"/>
      <c r="G10" s="13">
        <f t="shared" si="0"/>
        <v>3.0303030303030303</v>
      </c>
      <c r="H10" s="104"/>
      <c r="I10" s="19">
        <f t="shared" si="1"/>
        <v>0.96</v>
      </c>
      <c r="J10" s="65"/>
      <c r="K10" s="30">
        <f t="shared" si="2"/>
        <v>96.969696969696969</v>
      </c>
      <c r="L10" s="67"/>
      <c r="M10" s="49">
        <f>D10-C10</f>
        <v>0.1379999999999999</v>
      </c>
      <c r="N10" s="65"/>
      <c r="O10" s="21">
        <f t="shared" si="9"/>
        <v>0.13939393939393929</v>
      </c>
      <c r="P10" s="65"/>
      <c r="Q10" s="21">
        <f t="shared" si="10"/>
        <v>1.0979999999999999</v>
      </c>
      <c r="R10" s="65"/>
      <c r="S10" s="21">
        <f t="shared" si="11"/>
        <v>97.340425531914889</v>
      </c>
      <c r="T10" s="67"/>
      <c r="U10" s="19">
        <f t="shared" si="4"/>
        <v>2.6595744680851068</v>
      </c>
      <c r="V10" s="67"/>
      <c r="W10" s="69"/>
      <c r="X10" s="61"/>
      <c r="Y10">
        <v>30</v>
      </c>
      <c r="Z10" s="111">
        <f t="shared" si="5"/>
        <v>36.599999999999994</v>
      </c>
      <c r="AA10">
        <f t="shared" si="6"/>
        <v>34.550694444444446</v>
      </c>
      <c r="AB10">
        <f t="shared" si="7"/>
        <v>2.1382921019883856</v>
      </c>
    </row>
    <row r="11" spans="1:28" x14ac:dyDescent="0.3">
      <c r="A11" s="96"/>
      <c r="B11" s="63"/>
      <c r="C11" s="12">
        <f>1.644-0.636</f>
        <v>1.008</v>
      </c>
      <c r="D11" s="27">
        <v>1.1000000000000001</v>
      </c>
      <c r="E11" s="12">
        <v>3.3000000000000002E-2</v>
      </c>
      <c r="F11" s="65"/>
      <c r="G11" s="13">
        <f t="shared" si="0"/>
        <v>3.2738095238095242</v>
      </c>
      <c r="H11" s="104"/>
      <c r="I11" s="19">
        <f t="shared" si="1"/>
        <v>0.97499999999999998</v>
      </c>
      <c r="J11" s="65"/>
      <c r="K11" s="30">
        <f t="shared" si="2"/>
        <v>96.726190476190482</v>
      </c>
      <c r="L11" s="67"/>
      <c r="M11" s="49">
        <f t="shared" si="8"/>
        <v>9.2000000000000082E-2</v>
      </c>
      <c r="N11" s="65"/>
      <c r="O11" s="21">
        <f t="shared" si="9"/>
        <v>9.1269841269841348E-2</v>
      </c>
      <c r="P11" s="65"/>
      <c r="Q11" s="21">
        <f t="shared" si="10"/>
        <v>1.0670000000000002</v>
      </c>
      <c r="R11" s="65"/>
      <c r="S11" s="21">
        <f t="shared" si="11"/>
        <v>97.000000000000014</v>
      </c>
      <c r="T11" s="67"/>
      <c r="U11" s="19">
        <f t="shared" si="4"/>
        <v>3</v>
      </c>
      <c r="V11" s="67"/>
      <c r="W11" s="69"/>
      <c r="X11" s="61"/>
      <c r="Z11" s="111">
        <f t="shared" si="5"/>
        <v>32.333333333333336</v>
      </c>
    </row>
    <row r="12" spans="1:28" x14ac:dyDescent="0.3">
      <c r="A12" s="96"/>
      <c r="B12" s="85">
        <v>60</v>
      </c>
      <c r="C12" s="24">
        <f>1.719-0.699</f>
        <v>1.02</v>
      </c>
      <c r="D12" s="12">
        <v>1.081</v>
      </c>
      <c r="E12" s="24">
        <v>2.8000000000000001E-2</v>
      </c>
      <c r="F12" s="73">
        <f>AVERAGE(E12:E14)</f>
        <v>2.9333333333333333E-2</v>
      </c>
      <c r="G12" s="26">
        <f t="shared" ref="G12" si="21">E12*100/C12</f>
        <v>2.7450980392156863</v>
      </c>
      <c r="H12" s="106">
        <f>AVERAGE(G12:G14)</f>
        <v>2.9257072546949261</v>
      </c>
      <c r="I12" s="25">
        <f t="shared" si="1"/>
        <v>0.99199999999999999</v>
      </c>
      <c r="J12" s="73">
        <f>AVERAGE(I12:I14)</f>
        <v>0.97400000000000009</v>
      </c>
      <c r="K12" s="29">
        <f t="shared" si="2"/>
        <v>97.254901960784309</v>
      </c>
      <c r="L12" s="78">
        <f>AVERAGE(K12:K14)</f>
        <v>97.074292745305073</v>
      </c>
      <c r="M12" s="48">
        <f t="shared" si="8"/>
        <v>6.0999999999999943E-2</v>
      </c>
      <c r="N12" s="73">
        <f>AVERAGE(M12:M14)</f>
        <v>5.1666666666666604E-2</v>
      </c>
      <c r="O12" s="25">
        <f t="shared" si="9"/>
        <v>5.9803921568627391E-2</v>
      </c>
      <c r="P12" s="73">
        <f>AVERAGE(O12:O14)</f>
        <v>5.1506520842655092E-2</v>
      </c>
      <c r="Q12" s="25">
        <f t="shared" si="10"/>
        <v>1.0529999999999999</v>
      </c>
      <c r="R12" s="73">
        <f>AVERAGE(Q12:Q14)</f>
        <v>1.0256666666666667</v>
      </c>
      <c r="S12" s="25">
        <f t="shared" si="11"/>
        <v>97.409805735430155</v>
      </c>
      <c r="T12" s="73">
        <f>AVERAGE(S12,S14)</f>
        <v>97.175709169846684</v>
      </c>
      <c r="U12" s="25">
        <f t="shared" si="4"/>
        <v>2.5901942645698433</v>
      </c>
      <c r="V12" s="73">
        <f>AVERAGE(U12,U14)</f>
        <v>2.8242908301533185</v>
      </c>
      <c r="W12" s="76">
        <f t="shared" ref="W12" si="22">F12-$F$3</f>
        <v>-7.0000000000000027E-3</v>
      </c>
      <c r="X12" s="60">
        <f t="shared" ref="X12" si="23">-W12*100/$F$3</f>
        <v>19.266055045871568</v>
      </c>
      <c r="Z12" s="110">
        <f t="shared" si="5"/>
        <v>37.607142857142854</v>
      </c>
    </row>
    <row r="13" spans="1:28" x14ac:dyDescent="0.3">
      <c r="A13" s="96"/>
      <c r="B13" s="63"/>
      <c r="C13" s="12">
        <f>1.647-0.649</f>
        <v>0.998</v>
      </c>
      <c r="D13" s="12">
        <v>1.0049999999999999</v>
      </c>
      <c r="E13" s="12">
        <v>2.7E-2</v>
      </c>
      <c r="F13" s="67"/>
      <c r="G13" s="33">
        <f>E13*100/C13</f>
        <v>2.7054108216432868</v>
      </c>
      <c r="H13" s="104"/>
      <c r="I13" s="35">
        <f t="shared" si="1"/>
        <v>0.97099999999999997</v>
      </c>
      <c r="J13" s="67"/>
      <c r="K13" s="54">
        <f t="shared" si="2"/>
        <v>97.294589178356702</v>
      </c>
      <c r="L13" s="67"/>
      <c r="M13" s="49">
        <f>D13-C13</f>
        <v>6.9999999999998952E-3</v>
      </c>
      <c r="N13" s="67"/>
      <c r="O13" s="35">
        <f t="shared" si="9"/>
        <v>7.0140280561121196E-3</v>
      </c>
      <c r="P13" s="67"/>
      <c r="Q13" s="35">
        <f t="shared" si="10"/>
        <v>0.97799999999999987</v>
      </c>
      <c r="R13" s="67"/>
      <c r="S13" s="35">
        <f t="shared" si="11"/>
        <v>97.31343283582089</v>
      </c>
      <c r="T13" s="67"/>
      <c r="U13" s="35">
        <f t="shared" si="4"/>
        <v>2.6865671641791051</v>
      </c>
      <c r="V13" s="74"/>
      <c r="W13" s="67"/>
      <c r="X13" s="61"/>
      <c r="Y13">
        <v>60</v>
      </c>
      <c r="Z13" s="111">
        <f t="shared" si="5"/>
        <v>36.222222222222214</v>
      </c>
      <c r="AA13">
        <f t="shared" si="6"/>
        <v>35.175444925444914</v>
      </c>
      <c r="AB13">
        <f t="shared" si="7"/>
        <v>3.0910101467957163</v>
      </c>
    </row>
    <row r="14" spans="1:28" x14ac:dyDescent="0.3">
      <c r="A14" s="96"/>
      <c r="B14" s="86"/>
      <c r="C14" s="27">
        <f>1.661-0.669</f>
        <v>0.99199999999999999</v>
      </c>
      <c r="D14" s="12">
        <v>1.079</v>
      </c>
      <c r="E14" s="27">
        <v>3.3000000000000002E-2</v>
      </c>
      <c r="F14" s="77"/>
      <c r="G14" s="34">
        <f>E14*100/C14</f>
        <v>3.3266129032258069</v>
      </c>
      <c r="H14" s="107"/>
      <c r="I14" s="28">
        <f t="shared" si="1"/>
        <v>0.95899999999999996</v>
      </c>
      <c r="J14" s="75"/>
      <c r="K14" s="31">
        <f t="shared" si="2"/>
        <v>96.673387096774192</v>
      </c>
      <c r="L14" s="79"/>
      <c r="M14" s="49">
        <f t="shared" si="8"/>
        <v>8.6999999999999966E-2</v>
      </c>
      <c r="N14" s="75"/>
      <c r="O14" s="28">
        <f t="shared" si="9"/>
        <v>8.770161290322577E-2</v>
      </c>
      <c r="P14" s="75"/>
      <c r="Q14" s="28">
        <f t="shared" si="10"/>
        <v>1.046</v>
      </c>
      <c r="R14" s="75"/>
      <c r="S14" s="28">
        <f t="shared" si="11"/>
        <v>96.941612604263213</v>
      </c>
      <c r="T14" s="75"/>
      <c r="U14" s="28">
        <f t="shared" si="4"/>
        <v>3.0583873957367937</v>
      </c>
      <c r="V14" s="75"/>
      <c r="W14" s="77"/>
      <c r="X14" s="62"/>
      <c r="Z14" s="111">
        <f t="shared" si="5"/>
        <v>31.696969696969695</v>
      </c>
    </row>
    <row r="15" spans="1:28" x14ac:dyDescent="0.3">
      <c r="A15" s="96"/>
      <c r="B15" s="63">
        <v>180</v>
      </c>
      <c r="C15" s="12">
        <f>1.69-0.683</f>
        <v>1.0069999999999999</v>
      </c>
      <c r="D15" s="16">
        <v>1.1870000000000001</v>
      </c>
      <c r="E15" s="12">
        <v>2.3E-2</v>
      </c>
      <c r="F15" s="65">
        <f>AVERAGE(E15:E17)</f>
        <v>2.5999999999999999E-2</v>
      </c>
      <c r="G15" s="13">
        <f>E15*100/C15</f>
        <v>2.2840119165839128</v>
      </c>
      <c r="H15" s="104">
        <f>AVERAGE(G15:G17)</f>
        <v>2.5760265400781703</v>
      </c>
      <c r="I15" s="19">
        <f t="shared" si="1"/>
        <v>0.98399999999999987</v>
      </c>
      <c r="J15" s="65">
        <f>AVERAGE(I15:I17)</f>
        <v>0.98333333333333339</v>
      </c>
      <c r="K15" s="30">
        <f t="shared" si="2"/>
        <v>97.715988083416093</v>
      </c>
      <c r="L15" s="67">
        <f>AVERAGE(K15:K17)</f>
        <v>97.423973459921811</v>
      </c>
      <c r="M15" s="51">
        <f t="shared" si="8"/>
        <v>0.18000000000000016</v>
      </c>
      <c r="N15" s="65">
        <f>AVERAGE(M15:M17)</f>
        <v>0.20533333333333328</v>
      </c>
      <c r="O15" s="21">
        <f t="shared" si="9"/>
        <v>0.17874875868917595</v>
      </c>
      <c r="P15" s="65">
        <f>AVERAGE(O15:O17)</f>
        <v>0.20317209058313809</v>
      </c>
      <c r="Q15" s="21">
        <f t="shared" si="10"/>
        <v>1.1640000000000001</v>
      </c>
      <c r="R15" s="65">
        <f>AVERAGE(Q15:Q17)</f>
        <v>1.1886666666666665</v>
      </c>
      <c r="S15" s="21">
        <f t="shared" si="11"/>
        <v>98.062342038753172</v>
      </c>
      <c r="T15" s="67">
        <f>AVERAGE(S15,S17)</f>
        <v>97.840694828900396</v>
      </c>
      <c r="U15" s="19">
        <f t="shared" si="4"/>
        <v>1.9376579612468405</v>
      </c>
      <c r="V15" s="67">
        <f>AVERAGE(U15,U17)</f>
        <v>2.1593051710996107</v>
      </c>
      <c r="W15" s="69">
        <f t="shared" ref="W15" si="24">F15-$F$3</f>
        <v>-1.0333333333333337E-2</v>
      </c>
      <c r="X15" s="71">
        <f t="shared" ref="X15" si="25">-W15*100/$F$3</f>
        <v>28.440366972477072</v>
      </c>
      <c r="Z15" s="110">
        <f t="shared" si="5"/>
        <v>50.608695652173921</v>
      </c>
    </row>
    <row r="16" spans="1:28" x14ac:dyDescent="0.3">
      <c r="A16" s="96"/>
      <c r="B16" s="63"/>
      <c r="C16" s="12">
        <f>1.721-0.702</f>
        <v>1.0190000000000001</v>
      </c>
      <c r="D16" s="12">
        <v>1.2809999999999999</v>
      </c>
      <c r="E16" s="12">
        <v>2.7E-2</v>
      </c>
      <c r="F16" s="65"/>
      <c r="G16" s="13">
        <f>E16*100/C16</f>
        <v>2.649656526005888</v>
      </c>
      <c r="H16" s="104"/>
      <c r="I16" s="19">
        <f t="shared" si="1"/>
        <v>0.9920000000000001</v>
      </c>
      <c r="J16" s="65"/>
      <c r="K16" s="30">
        <f t="shared" si="2"/>
        <v>97.350343473994116</v>
      </c>
      <c r="L16" s="67"/>
      <c r="M16" s="49">
        <f>D16-C16</f>
        <v>0.26199999999999979</v>
      </c>
      <c r="N16" s="65"/>
      <c r="O16" s="21">
        <f t="shared" si="9"/>
        <v>0.25711481844945999</v>
      </c>
      <c r="P16" s="67"/>
      <c r="Q16" s="35">
        <f t="shared" si="10"/>
        <v>1.254</v>
      </c>
      <c r="R16" s="65"/>
      <c r="S16" s="21">
        <f t="shared" si="11"/>
        <v>97.892271662763477</v>
      </c>
      <c r="T16" s="67"/>
      <c r="U16" s="19">
        <f t="shared" si="4"/>
        <v>2.1077283372365341</v>
      </c>
      <c r="V16" s="67"/>
      <c r="W16" s="69"/>
      <c r="X16" s="71"/>
      <c r="Y16">
        <v>180</v>
      </c>
      <c r="Z16" s="111">
        <f t="shared" si="5"/>
        <v>46.444444444444443</v>
      </c>
      <c r="AA16">
        <f>AVERAGE(Z15:Z17)</f>
        <v>46.017713365539457</v>
      </c>
      <c r="AB16">
        <f>_xlfn.STDEV.S(Z15:Z17)</f>
        <v>4.8185405045826997</v>
      </c>
    </row>
    <row r="17" spans="1:26" x14ac:dyDescent="0.3">
      <c r="A17" s="97"/>
      <c r="B17" s="64"/>
      <c r="C17" s="8">
        <f>1.657-0.655</f>
        <v>1.002</v>
      </c>
      <c r="D17" s="8">
        <v>1.1759999999999999</v>
      </c>
      <c r="E17" s="8">
        <v>2.8000000000000001E-2</v>
      </c>
      <c r="F17" s="66"/>
      <c r="G17" s="20">
        <f>E17*100/C17</f>
        <v>2.7944111776447107</v>
      </c>
      <c r="H17" s="105"/>
      <c r="I17" s="23">
        <f t="shared" si="1"/>
        <v>0.97399999999999998</v>
      </c>
      <c r="J17" s="66"/>
      <c r="K17" s="55">
        <f t="shared" si="2"/>
        <v>97.205588822355281</v>
      </c>
      <c r="L17" s="68"/>
      <c r="M17" s="52">
        <f t="shared" si="8"/>
        <v>0.17399999999999993</v>
      </c>
      <c r="N17" s="66"/>
      <c r="O17" s="22">
        <f t="shared" si="9"/>
        <v>0.17365269461077837</v>
      </c>
      <c r="P17" s="66"/>
      <c r="Q17" s="22">
        <f t="shared" si="10"/>
        <v>1.1479999999999999</v>
      </c>
      <c r="R17" s="66"/>
      <c r="S17" s="22">
        <f t="shared" si="11"/>
        <v>97.61904761904762</v>
      </c>
      <c r="T17" s="68"/>
      <c r="U17" s="23">
        <f t="shared" si="4"/>
        <v>2.3809523809523814</v>
      </c>
      <c r="V17" s="68"/>
      <c r="W17" s="70"/>
      <c r="X17" s="72"/>
      <c r="Z17" s="112">
        <f t="shared" si="5"/>
        <v>40.999999999999993</v>
      </c>
    </row>
  </sheetData>
  <mergeCells count="63"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F6:F8"/>
    <mergeCell ref="H6:H8"/>
    <mergeCell ref="J6:J8"/>
    <mergeCell ref="L6:L8"/>
    <mergeCell ref="N6:N8"/>
    <mergeCell ref="R6:R8"/>
    <mergeCell ref="T6:T8"/>
    <mergeCell ref="B9:B11"/>
    <mergeCell ref="F9:F11"/>
    <mergeCell ref="H9:H11"/>
    <mergeCell ref="J9:J11"/>
    <mergeCell ref="L9:L11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V12:V14"/>
    <mergeCell ref="W12:W14"/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5F04-B45E-49B6-973E-0E246096C007}">
  <dimension ref="A1:AB17"/>
  <sheetViews>
    <sheetView zoomScale="115" zoomScaleNormal="115" workbookViewId="0">
      <selection activeCell="Y1" sqref="Y1:AB17"/>
    </sheetView>
  </sheetViews>
  <sheetFormatPr defaultRowHeight="14.4" x14ac:dyDescent="0.3"/>
  <cols>
    <col min="1" max="1" width="13.6640625" customWidth="1"/>
    <col min="2" max="2" width="16.44140625" customWidth="1"/>
    <col min="3" max="3" width="19.6640625" customWidth="1"/>
    <col min="4" max="4" width="18" customWidth="1"/>
    <col min="6" max="6" width="11.5546875" customWidth="1"/>
    <col min="9" max="9" width="12.33203125" customWidth="1"/>
    <col min="12" max="12" width="11.109375" customWidth="1"/>
  </cols>
  <sheetData>
    <row r="1" spans="1:28" x14ac:dyDescent="0.3">
      <c r="A1" s="1" t="s">
        <v>0</v>
      </c>
      <c r="B1" s="2" t="s">
        <v>1</v>
      </c>
      <c r="C1" s="3" t="s">
        <v>2</v>
      </c>
      <c r="D1" s="3" t="s">
        <v>3</v>
      </c>
      <c r="E1" s="101" t="s">
        <v>4</v>
      </c>
      <c r="F1" s="102"/>
      <c r="G1" s="89" t="s">
        <v>5</v>
      </c>
      <c r="H1" s="90"/>
      <c r="I1" s="90" t="s">
        <v>6</v>
      </c>
      <c r="J1" s="90"/>
      <c r="K1" s="90"/>
      <c r="L1" s="103"/>
      <c r="M1" s="90" t="s">
        <v>7</v>
      </c>
      <c r="N1" s="90"/>
      <c r="O1" s="90"/>
      <c r="P1" s="90"/>
      <c r="Q1" s="89" t="s">
        <v>8</v>
      </c>
      <c r="R1" s="90"/>
      <c r="S1" s="90"/>
      <c r="T1" s="90"/>
      <c r="U1" s="89" t="s">
        <v>9</v>
      </c>
      <c r="V1" s="90"/>
      <c r="W1" s="89" t="s">
        <v>10</v>
      </c>
      <c r="X1" s="94"/>
      <c r="Y1" t="s">
        <v>24</v>
      </c>
      <c r="Z1" t="s">
        <v>21</v>
      </c>
      <c r="AA1" t="s">
        <v>22</v>
      </c>
      <c r="AB1" t="s">
        <v>23</v>
      </c>
    </row>
    <row r="2" spans="1:28" x14ac:dyDescent="0.3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8" x14ac:dyDescent="0.3">
      <c r="A3" s="95">
        <v>65</v>
      </c>
      <c r="B3" s="63">
        <v>0</v>
      </c>
      <c r="C3" s="12">
        <f>1.056</f>
        <v>1.056</v>
      </c>
      <c r="D3" s="12" t="s">
        <v>19</v>
      </c>
      <c r="E3" s="12">
        <v>4.2999999999999997E-2</v>
      </c>
      <c r="F3" s="65">
        <f>AVERAGE(E3:E5)</f>
        <v>4.2666666666666665E-2</v>
      </c>
      <c r="G3" s="13">
        <f t="shared" ref="G3:G11" si="0">E3*100/C3</f>
        <v>4.0719696969696964</v>
      </c>
      <c r="H3" s="104">
        <f>AVERAGE(G3:G5)</f>
        <v>3.9583271996133296</v>
      </c>
      <c r="I3" s="19">
        <f>C3-E3</f>
        <v>1.0130000000000001</v>
      </c>
      <c r="J3" s="65">
        <f>AVERAGE(I3:I5)</f>
        <v>1.0353333333333334</v>
      </c>
      <c r="K3" s="30">
        <f>I3*100/C3</f>
        <v>95.928030303030312</v>
      </c>
      <c r="L3" s="67">
        <f>AVERAGE(K3:K5)</f>
        <v>96.041672800386664</v>
      </c>
      <c r="M3" s="39">
        <v>0</v>
      </c>
      <c r="N3" s="99">
        <v>0</v>
      </c>
      <c r="O3" s="41">
        <v>0</v>
      </c>
      <c r="P3" s="99">
        <v>0</v>
      </c>
      <c r="Q3" s="41"/>
      <c r="R3" s="40"/>
      <c r="S3" s="41"/>
      <c r="T3" s="41"/>
      <c r="U3" s="42"/>
      <c r="V3" s="41"/>
      <c r="W3" s="42"/>
      <c r="X3" s="43"/>
      <c r="Z3" s="110">
        <f>(C3-E3)/E3</f>
        <v>23.558139534883725</v>
      </c>
    </row>
    <row r="4" spans="1:28" x14ac:dyDescent="0.3">
      <c r="A4" s="96"/>
      <c r="B4" s="63"/>
      <c r="C4" s="12">
        <f>1.074</f>
        <v>1.0740000000000001</v>
      </c>
      <c r="D4" s="12" t="s">
        <v>19</v>
      </c>
      <c r="E4" s="12">
        <v>4.1000000000000002E-2</v>
      </c>
      <c r="F4" s="65"/>
      <c r="G4" s="13">
        <f t="shared" si="0"/>
        <v>3.8175046554934826</v>
      </c>
      <c r="H4" s="104"/>
      <c r="I4" s="19">
        <f t="shared" ref="I4:I17" si="1">C4-E4</f>
        <v>1.0330000000000001</v>
      </c>
      <c r="J4" s="65"/>
      <c r="K4" s="30">
        <f t="shared" ref="K4:K17" si="2">I4*100/C4</f>
        <v>96.18249534450652</v>
      </c>
      <c r="L4" s="67"/>
      <c r="M4" s="39">
        <v>0</v>
      </c>
      <c r="N4" s="99"/>
      <c r="O4" s="41">
        <v>0</v>
      </c>
      <c r="P4" s="99"/>
      <c r="Q4" s="41"/>
      <c r="R4" s="40"/>
      <c r="S4" s="41"/>
      <c r="T4" s="41"/>
      <c r="U4" s="42"/>
      <c r="V4" s="41"/>
      <c r="W4" s="42"/>
      <c r="X4" s="43"/>
      <c r="Y4">
        <v>0</v>
      </c>
      <c r="Z4" s="111">
        <f t="shared" ref="Z4:Z5" si="3">(C4-E4)/E4</f>
        <v>25.195121951219516</v>
      </c>
      <c r="AA4">
        <f>AVERAGE(Z3:Z5)</f>
        <v>24.281390192337444</v>
      </c>
      <c r="AB4">
        <f>_xlfn.STDEV.S(Z3:Z5)</f>
        <v>0.83494918728576495</v>
      </c>
    </row>
    <row r="5" spans="1:28" x14ac:dyDescent="0.3">
      <c r="A5" s="96"/>
      <c r="B5" s="98"/>
      <c r="C5" s="14">
        <f>1.104</f>
        <v>1.1040000000000001</v>
      </c>
      <c r="D5" s="14" t="s">
        <v>19</v>
      </c>
      <c r="E5" s="14">
        <v>4.3999999999999997E-2</v>
      </c>
      <c r="F5" s="65"/>
      <c r="G5" s="15">
        <f t="shared" si="0"/>
        <v>3.9855072463768106</v>
      </c>
      <c r="H5" s="109"/>
      <c r="I5" s="32">
        <f t="shared" si="1"/>
        <v>1.06</v>
      </c>
      <c r="J5" s="93"/>
      <c r="K5" s="53">
        <f t="shared" si="2"/>
        <v>96.014492753623173</v>
      </c>
      <c r="L5" s="79"/>
      <c r="M5" s="44">
        <v>0</v>
      </c>
      <c r="N5" s="100"/>
      <c r="O5" s="46">
        <v>0</v>
      </c>
      <c r="P5" s="100"/>
      <c r="Q5" s="46"/>
      <c r="R5" s="45"/>
      <c r="S5" s="46"/>
      <c r="T5" s="46"/>
      <c r="U5" s="47"/>
      <c r="V5" s="46"/>
      <c r="W5" s="47"/>
      <c r="X5" s="43"/>
      <c r="Z5" s="111">
        <f t="shared" si="3"/>
        <v>24.090909090909093</v>
      </c>
    </row>
    <row r="6" spans="1:28" x14ac:dyDescent="0.3">
      <c r="A6" s="96"/>
      <c r="B6" s="88">
        <v>15</v>
      </c>
      <c r="C6" s="16">
        <f>1.078</f>
        <v>1.0780000000000001</v>
      </c>
      <c r="D6" s="21">
        <v>1.137</v>
      </c>
      <c r="E6" s="16">
        <v>3.7999999999999999E-2</v>
      </c>
      <c r="F6" s="91">
        <f>AVERAGE(E6:E8)</f>
        <v>4.0333333333333332E-2</v>
      </c>
      <c r="G6" s="17">
        <f t="shared" si="0"/>
        <v>3.525046382189239</v>
      </c>
      <c r="H6" s="108">
        <f>AVERAGE(G6:G8)</f>
        <v>3.7587632026967284</v>
      </c>
      <c r="I6" s="18">
        <f t="shared" si="1"/>
        <v>1.04</v>
      </c>
      <c r="J6" s="87">
        <f>AVERAGE(I6:I8)</f>
        <v>1.0330000000000001</v>
      </c>
      <c r="K6" s="36">
        <f t="shared" si="2"/>
        <v>96.474953617810755</v>
      </c>
      <c r="L6" s="78">
        <f>AVERAGE(K6:K8)</f>
        <v>96.241236797303259</v>
      </c>
      <c r="M6" s="48">
        <f>D6-C6</f>
        <v>5.8999999999999941E-2</v>
      </c>
      <c r="N6" s="87">
        <f>AVERAGE(M6:M8)</f>
        <v>7.0999999999999883E-2</v>
      </c>
      <c r="O6" s="37">
        <f>M6/C6</f>
        <v>5.4730983302411815E-2</v>
      </c>
      <c r="P6" s="87">
        <f>AVERAGE(O6:O8)</f>
        <v>6.6137209810383013E-2</v>
      </c>
      <c r="Q6" s="37">
        <f>D6-E6</f>
        <v>1.099</v>
      </c>
      <c r="R6" s="87">
        <f>AVERAGE(Q6:Q8)</f>
        <v>1.1039999999999999</v>
      </c>
      <c r="S6" s="37">
        <f>Q6*100/D6</f>
        <v>96.657871591908517</v>
      </c>
      <c r="T6" s="78">
        <f>AVERAGE(S6,S8)</f>
        <v>96.426280928697622</v>
      </c>
      <c r="U6" s="18">
        <f t="shared" ref="U6:U17" si="4">E6*100/D6</f>
        <v>3.3421284080914684</v>
      </c>
      <c r="V6" s="78">
        <f>AVERAGE(U6,U8)</f>
        <v>3.5737190713023717</v>
      </c>
      <c r="W6" s="80">
        <f>F6-$F$3</f>
        <v>-2.3333333333333331E-3</v>
      </c>
      <c r="X6" s="82">
        <f>-W6*100/$F$3</f>
        <v>5.46875</v>
      </c>
      <c r="Z6" s="110">
        <f t="shared" ref="Z6:Z17" si="5">(D6-E6)/E6</f>
        <v>28.921052631578949</v>
      </c>
    </row>
    <row r="7" spans="1:28" x14ac:dyDescent="0.3">
      <c r="A7" s="96"/>
      <c r="B7" s="63"/>
      <c r="C7" s="12">
        <f>1.076</f>
        <v>1.0760000000000001</v>
      </c>
      <c r="D7" s="21">
        <v>1.1659999999999999</v>
      </c>
      <c r="E7" s="12">
        <v>0.04</v>
      </c>
      <c r="F7" s="67"/>
      <c r="G7" s="33">
        <f t="shared" si="0"/>
        <v>3.7174721189591078</v>
      </c>
      <c r="H7" s="104"/>
      <c r="I7" s="35">
        <f t="shared" si="1"/>
        <v>1.036</v>
      </c>
      <c r="J7" s="67"/>
      <c r="K7" s="54">
        <f t="shared" si="2"/>
        <v>96.282527881040892</v>
      </c>
      <c r="L7" s="67"/>
      <c r="M7" s="49">
        <f>D7-C7</f>
        <v>8.9999999999999858E-2</v>
      </c>
      <c r="N7" s="67"/>
      <c r="O7" s="35">
        <f>M7/C7</f>
        <v>8.3643122676579792E-2</v>
      </c>
      <c r="P7" s="67"/>
      <c r="Q7" s="35">
        <f>D7-E7</f>
        <v>1.1259999999999999</v>
      </c>
      <c r="R7" s="67"/>
      <c r="S7" s="35">
        <f>Q7*100/D7</f>
        <v>96.56946826758147</v>
      </c>
      <c r="T7" s="67"/>
      <c r="U7" s="35">
        <f t="shared" si="4"/>
        <v>3.4305317324185252</v>
      </c>
      <c r="V7" s="67"/>
      <c r="W7" s="69"/>
      <c r="X7" s="71"/>
      <c r="Y7">
        <v>15</v>
      </c>
      <c r="Z7" s="111">
        <f t="shared" si="5"/>
        <v>28.149999999999995</v>
      </c>
      <c r="AA7">
        <f t="shared" ref="AA7:AA17" si="6">AVERAGE(Z6:Z8)</f>
        <v>27.450040799673602</v>
      </c>
      <c r="AB7">
        <f t="shared" ref="AB7:AB17" si="7">_xlfn.STDEV.S(Z6:Z8)</f>
        <v>1.9192360347956734</v>
      </c>
    </row>
    <row r="8" spans="1:28" x14ac:dyDescent="0.3">
      <c r="A8" s="96"/>
      <c r="B8" s="98"/>
      <c r="C8" s="14">
        <f>1.066</f>
        <v>1.0660000000000001</v>
      </c>
      <c r="D8" s="38">
        <v>1.1299999999999999</v>
      </c>
      <c r="E8" s="14">
        <v>4.2999999999999997E-2</v>
      </c>
      <c r="F8" s="92"/>
      <c r="G8" s="15">
        <f t="shared" si="0"/>
        <v>4.0337711069418383</v>
      </c>
      <c r="H8" s="109"/>
      <c r="I8" s="32">
        <f t="shared" si="1"/>
        <v>1.0230000000000001</v>
      </c>
      <c r="J8" s="93"/>
      <c r="K8" s="53">
        <f t="shared" si="2"/>
        <v>95.966228893058172</v>
      </c>
      <c r="L8" s="79"/>
      <c r="M8" s="50">
        <f t="shared" ref="M8:M17" si="8">D8-C8</f>
        <v>6.3999999999999835E-2</v>
      </c>
      <c r="N8" s="93"/>
      <c r="O8" s="38">
        <f t="shared" ref="O8:O17" si="9">M8/C8</f>
        <v>6.0037523452157439E-2</v>
      </c>
      <c r="P8" s="93"/>
      <c r="Q8" s="38">
        <f t="shared" ref="Q8:Q17" si="10">D8-E8</f>
        <v>1.087</v>
      </c>
      <c r="R8" s="93"/>
      <c r="S8" s="38">
        <f t="shared" ref="S8:S17" si="11">Q8*100/D8</f>
        <v>96.194690265486742</v>
      </c>
      <c r="T8" s="79"/>
      <c r="U8" s="32">
        <f t="shared" si="4"/>
        <v>3.8053097345132745</v>
      </c>
      <c r="V8" s="79"/>
      <c r="W8" s="81"/>
      <c r="X8" s="83"/>
      <c r="Z8" s="111">
        <f t="shared" si="5"/>
        <v>25.279069767441861</v>
      </c>
    </row>
    <row r="9" spans="1:28" x14ac:dyDescent="0.3">
      <c r="A9" s="96"/>
      <c r="B9" s="88">
        <v>30</v>
      </c>
      <c r="C9" s="12">
        <f>1.09</f>
        <v>1.0900000000000001</v>
      </c>
      <c r="D9" s="25">
        <v>1.194</v>
      </c>
      <c r="E9" s="12">
        <v>4.2999999999999997E-2</v>
      </c>
      <c r="F9" s="65">
        <f>AVERAGE(E9:E11)</f>
        <v>4.1000000000000002E-2</v>
      </c>
      <c r="G9" s="13">
        <f t="shared" si="0"/>
        <v>3.9449541284403664</v>
      </c>
      <c r="H9" s="108">
        <f t="shared" ref="H9" si="12">AVERAGE(G9:G11)</f>
        <v>3.7298812866654174</v>
      </c>
      <c r="I9" s="19">
        <f t="shared" si="1"/>
        <v>1.0470000000000002</v>
      </c>
      <c r="J9" s="87">
        <f t="shared" ref="J9" si="13">AVERAGE(I9:I11)</f>
        <v>1.0589999999999999</v>
      </c>
      <c r="K9" s="30">
        <f t="shared" si="2"/>
        <v>96.055045871559642</v>
      </c>
      <c r="L9" s="78">
        <f>AVERAGE(K9:K11)</f>
        <v>96.270118713334583</v>
      </c>
      <c r="M9" s="48">
        <f t="shared" si="8"/>
        <v>0.10399999999999987</v>
      </c>
      <c r="N9" s="87">
        <f t="shared" ref="N9" si="14">AVERAGE(M9:M11)</f>
        <v>0.1296666666666666</v>
      </c>
      <c r="O9" s="21">
        <f t="shared" si="9"/>
        <v>9.5412844036697128E-2</v>
      </c>
      <c r="P9" s="65">
        <f t="shared" ref="P9" si="15">AVERAGE(O9:O11)</f>
        <v>0.1173133453997444</v>
      </c>
      <c r="Q9" s="21">
        <f t="shared" si="10"/>
        <v>1.151</v>
      </c>
      <c r="R9" s="65">
        <f t="shared" ref="R9" si="16">AVERAGE(Q9:Q11)</f>
        <v>1.1886666666666665</v>
      </c>
      <c r="S9" s="21">
        <f t="shared" si="11"/>
        <v>96.398659966499167</v>
      </c>
      <c r="T9" s="67">
        <f t="shared" ref="T9" si="17">AVERAGE(S9,S11)</f>
        <v>96.716440249409288</v>
      </c>
      <c r="U9" s="19">
        <f t="shared" si="4"/>
        <v>3.6013400335008376</v>
      </c>
      <c r="V9" s="67">
        <f t="shared" ref="V9" si="18">AVERAGE(U9,U11)</f>
        <v>3.2835597505907232</v>
      </c>
      <c r="W9" s="69">
        <f t="shared" ref="W9" si="19">F9-$F$3</f>
        <v>-1.6666666666666635E-3</v>
      </c>
      <c r="X9" s="84">
        <f t="shared" ref="X9" si="20">-W9*100/$F$3</f>
        <v>3.9062499999999929</v>
      </c>
      <c r="Z9" s="110">
        <f t="shared" si="5"/>
        <v>26.767441860465119</v>
      </c>
    </row>
    <row r="10" spans="1:28" x14ac:dyDescent="0.3">
      <c r="A10" s="96"/>
      <c r="B10" s="63"/>
      <c r="C10" s="12">
        <f>1.087</f>
        <v>1.087</v>
      </c>
      <c r="D10" s="21">
        <v>1.18</v>
      </c>
      <c r="E10" s="12">
        <v>4.1000000000000002E-2</v>
      </c>
      <c r="F10" s="65"/>
      <c r="G10" s="13">
        <f t="shared" si="0"/>
        <v>3.7718491260349594</v>
      </c>
      <c r="H10" s="104"/>
      <c r="I10" s="19">
        <f t="shared" si="1"/>
        <v>1.046</v>
      </c>
      <c r="J10" s="65"/>
      <c r="K10" s="30">
        <f t="shared" si="2"/>
        <v>96.228150873965049</v>
      </c>
      <c r="L10" s="67"/>
      <c r="M10" s="49">
        <f>D10-C10</f>
        <v>9.2999999999999972E-2</v>
      </c>
      <c r="N10" s="65"/>
      <c r="O10" s="21">
        <f t="shared" si="9"/>
        <v>8.5556577736890502E-2</v>
      </c>
      <c r="P10" s="65"/>
      <c r="Q10" s="21">
        <f t="shared" si="10"/>
        <v>1.139</v>
      </c>
      <c r="R10" s="65"/>
      <c r="S10" s="21">
        <f t="shared" si="11"/>
        <v>96.525423728813564</v>
      </c>
      <c r="T10" s="67"/>
      <c r="U10" s="19">
        <f t="shared" si="4"/>
        <v>3.4745762711864412</v>
      </c>
      <c r="V10" s="67"/>
      <c r="W10" s="69"/>
      <c r="X10" s="61"/>
      <c r="Y10">
        <v>30</v>
      </c>
      <c r="Z10" s="111">
        <f t="shared" si="5"/>
        <v>27.780487804878049</v>
      </c>
      <c r="AA10">
        <f t="shared" si="6"/>
        <v>29.088626127763963</v>
      </c>
      <c r="AB10">
        <f t="shared" si="7"/>
        <v>3.1836382283626228</v>
      </c>
    </row>
    <row r="11" spans="1:28" x14ac:dyDescent="0.3">
      <c r="A11" s="96"/>
      <c r="B11" s="63"/>
      <c r="C11" s="12">
        <f>1.123</f>
        <v>1.123</v>
      </c>
      <c r="D11" s="28">
        <v>1.3149999999999999</v>
      </c>
      <c r="E11" s="12">
        <v>3.9E-2</v>
      </c>
      <c r="F11" s="65"/>
      <c r="G11" s="13">
        <f t="shared" si="0"/>
        <v>3.472840605520926</v>
      </c>
      <c r="H11" s="104"/>
      <c r="I11" s="19">
        <f t="shared" si="1"/>
        <v>1.0840000000000001</v>
      </c>
      <c r="J11" s="65"/>
      <c r="K11" s="30">
        <f t="shared" si="2"/>
        <v>96.527159394479085</v>
      </c>
      <c r="L11" s="67"/>
      <c r="M11" s="49">
        <f t="shared" si="8"/>
        <v>0.19199999999999995</v>
      </c>
      <c r="N11" s="65"/>
      <c r="O11" s="21">
        <f t="shared" si="9"/>
        <v>0.17097061442564554</v>
      </c>
      <c r="P11" s="65"/>
      <c r="Q11" s="21">
        <f t="shared" si="10"/>
        <v>1.276</v>
      </c>
      <c r="R11" s="65"/>
      <c r="S11" s="21">
        <f t="shared" si="11"/>
        <v>97.034220532319395</v>
      </c>
      <c r="T11" s="67"/>
      <c r="U11" s="19">
        <f t="shared" si="4"/>
        <v>2.9657794676806084</v>
      </c>
      <c r="V11" s="67"/>
      <c r="W11" s="69"/>
      <c r="X11" s="61"/>
      <c r="Z11" s="111">
        <f t="shared" si="5"/>
        <v>32.717948717948715</v>
      </c>
    </row>
    <row r="12" spans="1:28" x14ac:dyDescent="0.3">
      <c r="A12" s="96"/>
      <c r="B12" s="85">
        <v>60</v>
      </c>
      <c r="C12" s="24">
        <f>1.093</f>
        <v>1.093</v>
      </c>
      <c r="D12" s="21">
        <v>1.236</v>
      </c>
      <c r="E12" s="24">
        <v>4.1000000000000002E-2</v>
      </c>
      <c r="F12" s="73">
        <f>AVERAGE(E12:E14)</f>
        <v>4.0666666666666663E-2</v>
      </c>
      <c r="G12" s="26">
        <f t="shared" ref="G12" si="21">E12*100/C12</f>
        <v>3.751143641354072</v>
      </c>
      <c r="H12" s="106">
        <f>AVERAGE(G12:G14)</f>
        <v>3.7218236453797426</v>
      </c>
      <c r="I12" s="25">
        <f t="shared" si="1"/>
        <v>1.052</v>
      </c>
      <c r="J12" s="73">
        <f>AVERAGE(I12:I14)</f>
        <v>1.0519999999999998</v>
      </c>
      <c r="K12" s="29">
        <f t="shared" si="2"/>
        <v>96.248856358645938</v>
      </c>
      <c r="L12" s="78">
        <f>AVERAGE(K12:K14)</f>
        <v>96.278176354620257</v>
      </c>
      <c r="M12" s="48">
        <f t="shared" si="8"/>
        <v>0.14300000000000002</v>
      </c>
      <c r="N12" s="73">
        <f>AVERAGE(M12:M14)</f>
        <v>0.14900000000000002</v>
      </c>
      <c r="O12" s="25">
        <f t="shared" si="9"/>
        <v>0.13083257090576397</v>
      </c>
      <c r="P12" s="73">
        <f>AVERAGE(O12:O14)</f>
        <v>0.1363721955143653</v>
      </c>
      <c r="Q12" s="25">
        <f t="shared" si="10"/>
        <v>1.1950000000000001</v>
      </c>
      <c r="R12" s="73">
        <f>AVERAGE(Q12:Q14)</f>
        <v>1.2010000000000003</v>
      </c>
      <c r="S12" s="25">
        <f t="shared" si="11"/>
        <v>96.682847896440137</v>
      </c>
      <c r="T12" s="73">
        <f>AVERAGE(S12,S14)</f>
        <v>96.704043756526772</v>
      </c>
      <c r="U12" s="25">
        <f t="shared" si="4"/>
        <v>3.317152103559871</v>
      </c>
      <c r="V12" s="73">
        <f>AVERAGE(U12,U14)</f>
        <v>3.2959562434732264</v>
      </c>
      <c r="W12" s="76">
        <f t="shared" ref="W12" si="22">F12-$F$3</f>
        <v>-2.0000000000000018E-3</v>
      </c>
      <c r="X12" s="60">
        <f t="shared" ref="X12" si="23">-W12*100/$F$3</f>
        <v>4.6875000000000044</v>
      </c>
      <c r="Z12" s="110">
        <f t="shared" si="5"/>
        <v>29.146341463414636</v>
      </c>
    </row>
    <row r="13" spans="1:28" x14ac:dyDescent="0.3">
      <c r="A13" s="96"/>
      <c r="B13" s="63"/>
      <c r="C13" s="12">
        <f>1.094</f>
        <v>1.0940000000000001</v>
      </c>
      <c r="D13" s="21">
        <v>1.2370000000000001</v>
      </c>
      <c r="E13" s="12">
        <v>0.04</v>
      </c>
      <c r="F13" s="67"/>
      <c r="G13" s="33">
        <f>E13*100/C13</f>
        <v>3.6563071297989027</v>
      </c>
      <c r="H13" s="104"/>
      <c r="I13" s="35">
        <f t="shared" si="1"/>
        <v>1.054</v>
      </c>
      <c r="J13" s="67"/>
      <c r="K13" s="54">
        <f t="shared" si="2"/>
        <v>96.343692870201096</v>
      </c>
      <c r="L13" s="67"/>
      <c r="M13" s="49">
        <f>D13-C13</f>
        <v>0.14300000000000002</v>
      </c>
      <c r="N13" s="67"/>
      <c r="O13" s="35">
        <f t="shared" si="9"/>
        <v>0.1307129798903108</v>
      </c>
      <c r="P13" s="67"/>
      <c r="Q13" s="35">
        <f t="shared" si="10"/>
        <v>1.1970000000000001</v>
      </c>
      <c r="R13" s="67"/>
      <c r="S13" s="35">
        <f t="shared" si="11"/>
        <v>96.7663702506063</v>
      </c>
      <c r="T13" s="67"/>
      <c r="U13" s="35">
        <f t="shared" si="4"/>
        <v>3.2336297493936943</v>
      </c>
      <c r="V13" s="74"/>
      <c r="W13" s="67"/>
      <c r="X13" s="61"/>
      <c r="Y13">
        <v>60</v>
      </c>
      <c r="Z13" s="111">
        <f t="shared" si="5"/>
        <v>29.925000000000001</v>
      </c>
      <c r="AA13">
        <f t="shared" si="6"/>
        <v>29.535975609756104</v>
      </c>
      <c r="AB13">
        <f t="shared" si="7"/>
        <v>0.38932962641082081</v>
      </c>
    </row>
    <row r="14" spans="1:28" x14ac:dyDescent="0.3">
      <c r="A14" s="96"/>
      <c r="B14" s="86"/>
      <c r="C14" s="27">
        <f>1.091</f>
        <v>1.091</v>
      </c>
      <c r="D14" s="21">
        <v>1.252</v>
      </c>
      <c r="E14" s="27">
        <v>4.1000000000000002E-2</v>
      </c>
      <c r="F14" s="77"/>
      <c r="G14" s="34">
        <f>E14*100/C14</f>
        <v>3.7580201649862519</v>
      </c>
      <c r="H14" s="107"/>
      <c r="I14" s="28">
        <f t="shared" si="1"/>
        <v>1.05</v>
      </c>
      <c r="J14" s="75"/>
      <c r="K14" s="31">
        <f t="shared" si="2"/>
        <v>96.241979835013751</v>
      </c>
      <c r="L14" s="79"/>
      <c r="M14" s="49">
        <f t="shared" si="8"/>
        <v>0.16100000000000003</v>
      </c>
      <c r="N14" s="75"/>
      <c r="O14" s="28">
        <f t="shared" si="9"/>
        <v>0.14757103574702113</v>
      </c>
      <c r="P14" s="75"/>
      <c r="Q14" s="28">
        <f t="shared" si="10"/>
        <v>1.2110000000000001</v>
      </c>
      <c r="R14" s="75"/>
      <c r="S14" s="28">
        <f t="shared" si="11"/>
        <v>96.725239616613422</v>
      </c>
      <c r="T14" s="75"/>
      <c r="U14" s="28">
        <f t="shared" si="4"/>
        <v>3.2747603833865817</v>
      </c>
      <c r="V14" s="75"/>
      <c r="W14" s="77"/>
      <c r="X14" s="62"/>
      <c r="Z14" s="111">
        <f t="shared" si="5"/>
        <v>29.536585365853661</v>
      </c>
    </row>
    <row r="15" spans="1:28" x14ac:dyDescent="0.3">
      <c r="A15" s="96"/>
      <c r="B15" s="63">
        <v>180</v>
      </c>
      <c r="C15" s="12">
        <f>1.083</f>
        <v>1.083</v>
      </c>
      <c r="D15" s="37">
        <v>1.2</v>
      </c>
      <c r="E15" s="12">
        <v>3.2000000000000001E-2</v>
      </c>
      <c r="F15" s="65">
        <f>AVERAGE(E15:E17)</f>
        <v>3.6666666666666674E-2</v>
      </c>
      <c r="G15" s="13">
        <f>E15*100/C15</f>
        <v>2.9547553093259467</v>
      </c>
      <c r="H15" s="104">
        <f>AVERAGE(G15:G17)</f>
        <v>3.3812338360600669</v>
      </c>
      <c r="I15" s="19">
        <f t="shared" si="1"/>
        <v>1.0509999999999999</v>
      </c>
      <c r="J15" s="65">
        <f>AVERAGE(I15:I17)</f>
        <v>1.0476666666666667</v>
      </c>
      <c r="K15" s="30">
        <f t="shared" si="2"/>
        <v>97.045244690674053</v>
      </c>
      <c r="L15" s="67">
        <f>AVERAGE(K15:K17)</f>
        <v>96.618766163939938</v>
      </c>
      <c r="M15" s="51">
        <f t="shared" si="8"/>
        <v>0.11699999999999999</v>
      </c>
      <c r="N15" s="65">
        <f>AVERAGE(M15:M17)</f>
        <v>0.19899999999999998</v>
      </c>
      <c r="O15" s="21">
        <f t="shared" si="9"/>
        <v>0.10803324099722991</v>
      </c>
      <c r="P15" s="65">
        <f>AVERAGE(O15:O17)</f>
        <v>0.18350269337008732</v>
      </c>
      <c r="Q15" s="21">
        <f t="shared" si="10"/>
        <v>1.1679999999999999</v>
      </c>
      <c r="R15" s="65">
        <f>AVERAGE(Q15:Q17)</f>
        <v>1.2466666666666668</v>
      </c>
      <c r="S15" s="21">
        <f t="shared" si="11"/>
        <v>97.333333333333329</v>
      </c>
      <c r="T15" s="67">
        <f>AVERAGE(S15,S17)</f>
        <v>97.143229166666657</v>
      </c>
      <c r="U15" s="19">
        <f t="shared" si="4"/>
        <v>2.666666666666667</v>
      </c>
      <c r="V15" s="67">
        <f>AVERAGE(U15,U17)</f>
        <v>2.8567708333333335</v>
      </c>
      <c r="W15" s="69">
        <f t="shared" ref="W15" si="24">F15-$F$3</f>
        <v>-5.9999999999999915E-3</v>
      </c>
      <c r="X15" s="71">
        <f t="shared" ref="X15" si="25">-W15*100/$F$3</f>
        <v>14.062499999999982</v>
      </c>
      <c r="Z15" s="110">
        <f t="shared" si="5"/>
        <v>36.5</v>
      </c>
    </row>
    <row r="16" spans="1:28" x14ac:dyDescent="0.3">
      <c r="A16" s="96"/>
      <c r="B16" s="63"/>
      <c r="C16" s="12">
        <f>1.084</f>
        <v>1.0840000000000001</v>
      </c>
      <c r="D16" s="21">
        <v>1.37</v>
      </c>
      <c r="E16" s="12">
        <v>3.9E-2</v>
      </c>
      <c r="F16" s="65"/>
      <c r="G16" s="13">
        <f>E16*100/C16</f>
        <v>3.5977859778597781</v>
      </c>
      <c r="H16" s="104"/>
      <c r="I16" s="19">
        <f t="shared" si="1"/>
        <v>1.0450000000000002</v>
      </c>
      <c r="J16" s="65"/>
      <c r="K16" s="30">
        <f t="shared" si="2"/>
        <v>96.402214022140228</v>
      </c>
      <c r="L16" s="67"/>
      <c r="M16" s="49">
        <f>D16-C16</f>
        <v>0.28600000000000003</v>
      </c>
      <c r="N16" s="65"/>
      <c r="O16" s="21">
        <f t="shared" si="9"/>
        <v>0.2638376383763838</v>
      </c>
      <c r="P16" s="67"/>
      <c r="Q16" s="35">
        <f t="shared" si="10"/>
        <v>1.3310000000000002</v>
      </c>
      <c r="R16" s="65"/>
      <c r="S16" s="21">
        <f t="shared" si="11"/>
        <v>97.153284671532859</v>
      </c>
      <c r="T16" s="67"/>
      <c r="U16" s="19">
        <f t="shared" si="4"/>
        <v>2.8467153284671531</v>
      </c>
      <c r="V16" s="67"/>
      <c r="W16" s="69"/>
      <c r="X16" s="71"/>
      <c r="Y16">
        <v>180</v>
      </c>
      <c r="Z16" s="111">
        <f t="shared" si="5"/>
        <v>34.128205128205131</v>
      </c>
      <c r="AA16">
        <f>AVERAGE(Z15:Z17)</f>
        <v>34.149572649572654</v>
      </c>
      <c r="AB16">
        <f>_xlfn.STDEV.S(Z15:Z17)</f>
        <v>2.3398167650423511</v>
      </c>
    </row>
    <row r="17" spans="1:26" x14ac:dyDescent="0.3">
      <c r="A17" s="97"/>
      <c r="B17" s="64"/>
      <c r="C17" s="22">
        <f>1.086</f>
        <v>1.0860000000000001</v>
      </c>
      <c r="D17" s="22">
        <v>1.28</v>
      </c>
      <c r="E17" s="8">
        <v>3.9E-2</v>
      </c>
      <c r="F17" s="66"/>
      <c r="G17" s="20">
        <f>E17*100/C17</f>
        <v>3.5911602209944746</v>
      </c>
      <c r="H17" s="105"/>
      <c r="I17" s="23">
        <f t="shared" si="1"/>
        <v>1.0470000000000002</v>
      </c>
      <c r="J17" s="66"/>
      <c r="K17" s="55">
        <f t="shared" si="2"/>
        <v>96.408839779005532</v>
      </c>
      <c r="L17" s="68"/>
      <c r="M17" s="52">
        <f t="shared" si="8"/>
        <v>0.19399999999999995</v>
      </c>
      <c r="N17" s="66"/>
      <c r="O17" s="22">
        <f t="shared" si="9"/>
        <v>0.17863720073664818</v>
      </c>
      <c r="P17" s="66"/>
      <c r="Q17" s="22">
        <f t="shared" si="10"/>
        <v>1.2410000000000001</v>
      </c>
      <c r="R17" s="66"/>
      <c r="S17" s="22">
        <f t="shared" si="11"/>
        <v>96.953125</v>
      </c>
      <c r="T17" s="68"/>
      <c r="U17" s="23">
        <f t="shared" si="4"/>
        <v>3.046875</v>
      </c>
      <c r="V17" s="68"/>
      <c r="W17" s="70"/>
      <c r="X17" s="72"/>
      <c r="Z17" s="112">
        <f t="shared" si="5"/>
        <v>31.820512820512825</v>
      </c>
    </row>
  </sheetData>
  <mergeCells count="63"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F6:F8"/>
    <mergeCell ref="H6:H8"/>
    <mergeCell ref="J6:J8"/>
    <mergeCell ref="L6:L8"/>
    <mergeCell ref="N6:N8"/>
    <mergeCell ref="R6:R8"/>
    <mergeCell ref="T6:T8"/>
    <mergeCell ref="B9:B11"/>
    <mergeCell ref="F9:F11"/>
    <mergeCell ref="H9:H11"/>
    <mergeCell ref="J9:J11"/>
    <mergeCell ref="L9:L11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V12:V14"/>
    <mergeCell ref="W12:W14"/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workbookViewId="0">
      <selection activeCell="Y1" sqref="Y1:AB17"/>
    </sheetView>
  </sheetViews>
  <sheetFormatPr defaultRowHeight="14.4" x14ac:dyDescent="0.3"/>
  <cols>
    <col min="1" max="1" width="13.6640625" customWidth="1"/>
    <col min="2" max="2" width="16.44140625" customWidth="1"/>
    <col min="3" max="3" width="19.6640625" customWidth="1"/>
    <col min="4" max="4" width="18" customWidth="1"/>
    <col min="6" max="6" width="11.5546875" customWidth="1"/>
    <col min="9" max="9" width="12.33203125" customWidth="1"/>
    <col min="12" max="12" width="11.109375" customWidth="1"/>
  </cols>
  <sheetData>
    <row r="1" spans="1:28" x14ac:dyDescent="0.3">
      <c r="A1" s="1" t="s">
        <v>0</v>
      </c>
      <c r="B1" s="2" t="s">
        <v>1</v>
      </c>
      <c r="C1" s="3" t="s">
        <v>2</v>
      </c>
      <c r="D1" s="3" t="s">
        <v>3</v>
      </c>
      <c r="E1" s="101" t="s">
        <v>4</v>
      </c>
      <c r="F1" s="102"/>
      <c r="G1" s="89" t="s">
        <v>5</v>
      </c>
      <c r="H1" s="90"/>
      <c r="I1" s="90" t="s">
        <v>6</v>
      </c>
      <c r="J1" s="90"/>
      <c r="K1" s="90"/>
      <c r="L1" s="103"/>
      <c r="M1" s="90" t="s">
        <v>7</v>
      </c>
      <c r="N1" s="90"/>
      <c r="O1" s="90"/>
      <c r="P1" s="90"/>
      <c r="Q1" s="89" t="s">
        <v>8</v>
      </c>
      <c r="R1" s="90"/>
      <c r="S1" s="90"/>
      <c r="T1" s="90"/>
      <c r="U1" s="89" t="s">
        <v>9</v>
      </c>
      <c r="V1" s="90"/>
      <c r="W1" s="89" t="s">
        <v>10</v>
      </c>
      <c r="X1" s="94"/>
      <c r="Y1" t="s">
        <v>24</v>
      </c>
      <c r="Z1" t="s">
        <v>21</v>
      </c>
      <c r="AA1" t="s">
        <v>22</v>
      </c>
      <c r="AB1" t="s">
        <v>23</v>
      </c>
    </row>
    <row r="2" spans="1:28" x14ac:dyDescent="0.3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8" x14ac:dyDescent="0.3">
      <c r="A3" s="95">
        <v>65</v>
      </c>
      <c r="B3" s="63">
        <v>0</v>
      </c>
      <c r="C3" s="12">
        <f>0.989</f>
        <v>0.98899999999999999</v>
      </c>
      <c r="D3" s="12" t="s">
        <v>19</v>
      </c>
      <c r="E3" s="12">
        <v>4.3999999999999997E-2</v>
      </c>
      <c r="F3" s="65">
        <f>AVERAGE(E3:E5)</f>
        <v>4.3666666666666666E-2</v>
      </c>
      <c r="G3" s="13">
        <f t="shared" ref="G3:G11" si="0">E3*100/C3</f>
        <v>4.4489383215369056</v>
      </c>
      <c r="H3" s="104">
        <f>AVERAGE(G3:G5)</f>
        <v>4.4140303590616883</v>
      </c>
      <c r="I3" s="19">
        <f>C3-E3</f>
        <v>0.94499999999999995</v>
      </c>
      <c r="J3" s="65">
        <f>AVERAGE(I3:I5)</f>
        <v>0.94566666666666654</v>
      </c>
      <c r="K3" s="30">
        <f>I3*100/C3</f>
        <v>95.5510616784631</v>
      </c>
      <c r="L3" s="67">
        <f>AVERAGE(K3:K5)</f>
        <v>95.58596964093833</v>
      </c>
      <c r="M3" s="39">
        <v>0</v>
      </c>
      <c r="N3" s="99">
        <v>0</v>
      </c>
      <c r="O3" s="41">
        <v>0</v>
      </c>
      <c r="P3" s="99">
        <v>0</v>
      </c>
      <c r="Q3" s="41"/>
      <c r="R3" s="40"/>
      <c r="S3" s="41"/>
      <c r="T3" s="41"/>
      <c r="U3" s="42"/>
      <c r="V3" s="41"/>
      <c r="W3" s="42"/>
      <c r="X3" s="43"/>
      <c r="Z3" s="110">
        <f>(C3-E3)/E3</f>
        <v>21.477272727272727</v>
      </c>
    </row>
    <row r="4" spans="1:28" x14ac:dyDescent="0.3">
      <c r="A4" s="96"/>
      <c r="B4" s="63"/>
      <c r="C4" s="12">
        <f>0.995</f>
        <v>0.995</v>
      </c>
      <c r="D4" s="12" t="s">
        <v>19</v>
      </c>
      <c r="E4" s="12">
        <v>4.2999999999999997E-2</v>
      </c>
      <c r="F4" s="65"/>
      <c r="G4" s="13">
        <f t="shared" si="0"/>
        <v>4.3216080402010046</v>
      </c>
      <c r="H4" s="104"/>
      <c r="I4" s="19">
        <f t="shared" ref="I4:I14" si="1">C4-E4</f>
        <v>0.95199999999999996</v>
      </c>
      <c r="J4" s="65"/>
      <c r="K4" s="30">
        <f t="shared" ref="K4:K14" si="2">I4*100/C4</f>
        <v>95.678391959798986</v>
      </c>
      <c r="L4" s="67"/>
      <c r="M4" s="39">
        <v>0</v>
      </c>
      <c r="N4" s="99"/>
      <c r="O4" s="41">
        <v>0</v>
      </c>
      <c r="P4" s="99"/>
      <c r="Q4" s="41"/>
      <c r="R4" s="40"/>
      <c r="S4" s="41"/>
      <c r="T4" s="41"/>
      <c r="U4" s="42"/>
      <c r="V4" s="41"/>
      <c r="W4" s="42"/>
      <c r="X4" s="43"/>
      <c r="Y4">
        <v>0</v>
      </c>
      <c r="Z4" s="111">
        <f t="shared" ref="Z4:Z5" si="3">(C4-E4)/E4</f>
        <v>22.13953488372093</v>
      </c>
      <c r="AA4">
        <f>AVERAGE(Z3:Z5)</f>
        <v>21.66014799154334</v>
      </c>
      <c r="AB4">
        <f>_xlfn.STDEV.S(Z3:Z5)</f>
        <v>0.4190312041828036</v>
      </c>
    </row>
    <row r="5" spans="1:28" x14ac:dyDescent="0.3">
      <c r="A5" s="96"/>
      <c r="B5" s="98"/>
      <c r="C5" s="14">
        <f>0.984</f>
        <v>0.98399999999999999</v>
      </c>
      <c r="D5" s="14" t="s">
        <v>19</v>
      </c>
      <c r="E5" s="14">
        <v>4.3999999999999997E-2</v>
      </c>
      <c r="F5" s="65"/>
      <c r="G5" s="15">
        <f t="shared" si="0"/>
        <v>4.4715447154471537</v>
      </c>
      <c r="H5" s="109"/>
      <c r="I5" s="32">
        <f t="shared" si="1"/>
        <v>0.94</v>
      </c>
      <c r="J5" s="93"/>
      <c r="K5" s="53">
        <f t="shared" si="2"/>
        <v>95.528455284552848</v>
      </c>
      <c r="L5" s="79"/>
      <c r="M5" s="44">
        <v>0</v>
      </c>
      <c r="N5" s="100"/>
      <c r="O5" s="46">
        <v>0</v>
      </c>
      <c r="P5" s="100"/>
      <c r="Q5" s="46"/>
      <c r="R5" s="45"/>
      <c r="S5" s="46"/>
      <c r="T5" s="46"/>
      <c r="U5" s="47"/>
      <c r="V5" s="46"/>
      <c r="W5" s="47"/>
      <c r="X5" s="43"/>
      <c r="Z5" s="111">
        <f t="shared" si="3"/>
        <v>21.363636363636363</v>
      </c>
    </row>
    <row r="6" spans="1:28" x14ac:dyDescent="0.3">
      <c r="A6" s="96"/>
      <c r="B6" s="88">
        <v>15</v>
      </c>
      <c r="C6" s="16">
        <f>1.06</f>
        <v>1.06</v>
      </c>
      <c r="D6" s="12">
        <v>1.1830000000000001</v>
      </c>
      <c r="E6" s="16">
        <v>3.9E-2</v>
      </c>
      <c r="F6" s="91">
        <f>AVERAGE(E6:E8)</f>
        <v>3.7666666666666661E-2</v>
      </c>
      <c r="G6" s="17">
        <f t="shared" si="0"/>
        <v>3.6792452830188678</v>
      </c>
      <c r="H6" s="108">
        <f>AVERAGE(G6:G8)</f>
        <v>3.6461547823038472</v>
      </c>
      <c r="I6" s="18">
        <f t="shared" si="1"/>
        <v>1.0210000000000001</v>
      </c>
      <c r="J6" s="87">
        <f>AVERAGE(I6:I8)</f>
        <v>0.99533333333333329</v>
      </c>
      <c r="K6" s="36">
        <f t="shared" si="2"/>
        <v>96.320754716981142</v>
      </c>
      <c r="L6" s="78">
        <f>AVERAGE(K6:K8)</f>
        <v>96.353845217696161</v>
      </c>
      <c r="M6" s="48">
        <f>D6-C6</f>
        <v>0.123</v>
      </c>
      <c r="N6" s="87">
        <f>AVERAGE(M6:M8)</f>
        <v>9.1333333333333336E-2</v>
      </c>
      <c r="O6" s="37">
        <f>M6/C6</f>
        <v>0.11603773584905659</v>
      </c>
      <c r="P6" s="87">
        <f>AVERAGE(O6:O8)</f>
        <v>8.8053801102837601E-2</v>
      </c>
      <c r="Q6" s="37">
        <f>D6-E6</f>
        <v>1.1440000000000001</v>
      </c>
      <c r="R6" s="87">
        <f>AVERAGE(Q6:Q8)</f>
        <v>1.0866666666666667</v>
      </c>
      <c r="S6" s="37">
        <f>Q6*100/D6</f>
        <v>96.703296703296701</v>
      </c>
      <c r="T6" s="78">
        <f>AVERAGE(S6,S8)</f>
        <v>96.613313493459884</v>
      </c>
      <c r="U6" s="18">
        <f t="shared" ref="U6:U14" si="4">E6*100/D6</f>
        <v>3.2967032967032965</v>
      </c>
      <c r="V6" s="78">
        <f>AVERAGE(U6,U8)</f>
        <v>3.3866865065401202</v>
      </c>
      <c r="W6" s="80">
        <f>F6-$F$3</f>
        <v>-6.0000000000000053E-3</v>
      </c>
      <c r="X6" s="82">
        <f>-W6*100/$F$3</f>
        <v>13.740458015267189</v>
      </c>
      <c r="Z6" s="110">
        <f t="shared" ref="Z6:Z17" si="5">(D6-E6)/E6</f>
        <v>29.333333333333336</v>
      </c>
    </row>
    <row r="7" spans="1:28" x14ac:dyDescent="0.3">
      <c r="A7" s="96"/>
      <c r="B7" s="63"/>
      <c r="C7" s="12">
        <f>1.023</f>
        <v>1.0229999999999999</v>
      </c>
      <c r="D7" s="12">
        <v>1.097</v>
      </c>
      <c r="E7" s="12">
        <v>3.5999999999999997E-2</v>
      </c>
      <c r="F7" s="67"/>
      <c r="G7" s="33">
        <f t="shared" si="0"/>
        <v>3.5190615835777126</v>
      </c>
      <c r="H7" s="104"/>
      <c r="I7" s="35">
        <f t="shared" si="1"/>
        <v>0.98699999999999988</v>
      </c>
      <c r="J7" s="67"/>
      <c r="K7" s="54">
        <f t="shared" si="2"/>
        <v>96.480938416422291</v>
      </c>
      <c r="L7" s="67"/>
      <c r="M7" s="49">
        <f>D7-C7</f>
        <v>7.4000000000000066E-2</v>
      </c>
      <c r="N7" s="67"/>
      <c r="O7" s="35">
        <f>M7/C7</f>
        <v>7.2336265884653056E-2</v>
      </c>
      <c r="P7" s="67"/>
      <c r="Q7" s="35">
        <f>D7-E7</f>
        <v>1.0609999999999999</v>
      </c>
      <c r="R7" s="67"/>
      <c r="S7" s="35">
        <f>Q7*100/D7</f>
        <v>96.718322698267997</v>
      </c>
      <c r="T7" s="67"/>
      <c r="U7" s="35">
        <f t="shared" si="4"/>
        <v>3.281677301731996</v>
      </c>
      <c r="V7" s="67"/>
      <c r="W7" s="69"/>
      <c r="X7" s="71"/>
      <c r="Y7">
        <v>15</v>
      </c>
      <c r="Z7" s="111">
        <f t="shared" si="5"/>
        <v>29.472222222222221</v>
      </c>
      <c r="AA7">
        <f t="shared" ref="AA7:AA17" si="6">AVERAGE(Z6:Z8)</f>
        <v>28.856237816764132</v>
      </c>
      <c r="AB7">
        <f t="shared" ref="AB7:AB17" si="7">_xlfn.STDEV.S(Z6:Z8)</f>
        <v>0.9491787596752197</v>
      </c>
    </row>
    <row r="8" spans="1:28" x14ac:dyDescent="0.3">
      <c r="A8" s="96"/>
      <c r="B8" s="98"/>
      <c r="C8" s="14">
        <f>1.016</f>
        <v>1.016</v>
      </c>
      <c r="D8" s="14">
        <v>1.093</v>
      </c>
      <c r="E8" s="14">
        <v>3.7999999999999999E-2</v>
      </c>
      <c r="F8" s="92"/>
      <c r="G8" s="15">
        <f t="shared" si="0"/>
        <v>3.7401574803149602</v>
      </c>
      <c r="H8" s="109"/>
      <c r="I8" s="32">
        <f t="shared" si="1"/>
        <v>0.97799999999999998</v>
      </c>
      <c r="J8" s="93"/>
      <c r="K8" s="53">
        <f t="shared" si="2"/>
        <v>96.259842519685037</v>
      </c>
      <c r="L8" s="79"/>
      <c r="M8" s="50">
        <f t="shared" ref="M8:M14" si="8">D8-C8</f>
        <v>7.6999999999999957E-2</v>
      </c>
      <c r="N8" s="93"/>
      <c r="O8" s="38">
        <f t="shared" ref="O8:O14" si="9">M8/C8</f>
        <v>7.5787401574803112E-2</v>
      </c>
      <c r="P8" s="93"/>
      <c r="Q8" s="38">
        <f t="shared" ref="Q8:Q14" si="10">D8-E8</f>
        <v>1.0549999999999999</v>
      </c>
      <c r="R8" s="93"/>
      <c r="S8" s="38">
        <f t="shared" ref="S8:S14" si="11">Q8*100/D8</f>
        <v>96.523330283623054</v>
      </c>
      <c r="T8" s="79"/>
      <c r="U8" s="32">
        <f t="shared" si="4"/>
        <v>3.4766697163769442</v>
      </c>
      <c r="V8" s="79"/>
      <c r="W8" s="81"/>
      <c r="X8" s="83"/>
      <c r="Z8" s="111">
        <f t="shared" si="5"/>
        <v>27.763157894736842</v>
      </c>
    </row>
    <row r="9" spans="1:28" x14ac:dyDescent="0.3">
      <c r="A9" s="96"/>
      <c r="B9" s="88">
        <v>30</v>
      </c>
      <c r="C9" s="12">
        <f>0.981</f>
        <v>0.98099999999999998</v>
      </c>
      <c r="D9" s="24">
        <v>1.123</v>
      </c>
      <c r="E9" s="12">
        <v>3.5999999999999997E-2</v>
      </c>
      <c r="F9" s="65">
        <f>AVERAGE(E9:E11)</f>
        <v>3.7333333333333329E-2</v>
      </c>
      <c r="G9" s="13">
        <f t="shared" si="0"/>
        <v>3.6697247706422016</v>
      </c>
      <c r="H9" s="108">
        <f t="shared" ref="H9" si="12">AVERAGE(G9:G11)</f>
        <v>3.6493114246963851</v>
      </c>
      <c r="I9" s="19">
        <f t="shared" si="1"/>
        <v>0.94499999999999995</v>
      </c>
      <c r="J9" s="87">
        <f t="shared" ref="J9" si="13">AVERAGE(I9:I11)</f>
        <v>0.98766666666666669</v>
      </c>
      <c r="K9" s="30">
        <f t="shared" si="2"/>
        <v>96.330275229357795</v>
      </c>
      <c r="L9" s="78">
        <f>AVERAGE(K9:K11)</f>
        <v>96.350688575303607</v>
      </c>
      <c r="M9" s="48">
        <f t="shared" si="8"/>
        <v>0.14200000000000002</v>
      </c>
      <c r="N9" s="87">
        <f t="shared" ref="N9" si="14">AVERAGE(M9:M11)</f>
        <v>0.13600000000000009</v>
      </c>
      <c r="O9" s="21">
        <f t="shared" si="9"/>
        <v>0.14475025484199797</v>
      </c>
      <c r="P9" s="65">
        <f t="shared" ref="P9" si="15">AVERAGE(O9:O11)</f>
        <v>0.13345674220283668</v>
      </c>
      <c r="Q9" s="21">
        <f t="shared" si="10"/>
        <v>1.087</v>
      </c>
      <c r="R9" s="65">
        <f t="shared" ref="R9" si="16">AVERAGE(Q9:Q11)</f>
        <v>1.1236666666666668</v>
      </c>
      <c r="S9" s="21">
        <f t="shared" si="11"/>
        <v>96.79430097951915</v>
      </c>
      <c r="T9" s="67">
        <f t="shared" ref="T9" si="17">AVERAGE(S9,S11)</f>
        <v>96.864424723396695</v>
      </c>
      <c r="U9" s="19">
        <f t="shared" si="4"/>
        <v>3.2056990204808544</v>
      </c>
      <c r="V9" s="67">
        <f t="shared" ref="V9" si="18">AVERAGE(U9,U11)</f>
        <v>3.1355752766033103</v>
      </c>
      <c r="W9" s="69">
        <f t="shared" ref="W9" si="19">F9-$F$3</f>
        <v>-6.3333333333333366E-3</v>
      </c>
      <c r="X9" s="84">
        <f t="shared" ref="X9" si="20">-W9*100/$F$3</f>
        <v>14.503816793893137</v>
      </c>
      <c r="Z9" s="110">
        <f t="shared" si="5"/>
        <v>30.194444444444446</v>
      </c>
    </row>
    <row r="10" spans="1:28" x14ac:dyDescent="0.3">
      <c r="A10" s="96"/>
      <c r="B10" s="63"/>
      <c r="C10" s="12">
        <f>1.005</f>
        <v>1.0049999999999999</v>
      </c>
      <c r="D10" s="12">
        <v>1.153</v>
      </c>
      <c r="E10" s="12">
        <v>3.9E-2</v>
      </c>
      <c r="F10" s="65"/>
      <c r="G10" s="13">
        <f t="shared" si="0"/>
        <v>3.8805970149253737</v>
      </c>
      <c r="H10" s="104"/>
      <c r="I10" s="19">
        <f t="shared" si="1"/>
        <v>0.96599999999999986</v>
      </c>
      <c r="J10" s="65"/>
      <c r="K10" s="30">
        <f t="shared" si="2"/>
        <v>96.119402985074615</v>
      </c>
      <c r="L10" s="67"/>
      <c r="M10" s="49">
        <f>D10-C10</f>
        <v>0.14800000000000013</v>
      </c>
      <c r="N10" s="65"/>
      <c r="O10" s="21">
        <f t="shared" si="9"/>
        <v>0.14726368159203995</v>
      </c>
      <c r="P10" s="65"/>
      <c r="Q10" s="21">
        <f t="shared" si="10"/>
        <v>1.1140000000000001</v>
      </c>
      <c r="R10" s="65"/>
      <c r="S10" s="21">
        <f t="shared" si="11"/>
        <v>96.617519514310501</v>
      </c>
      <c r="T10" s="67"/>
      <c r="U10" s="19">
        <f t="shared" si="4"/>
        <v>3.3824804856895057</v>
      </c>
      <c r="V10" s="67"/>
      <c r="W10" s="69"/>
      <c r="X10" s="61"/>
      <c r="Y10">
        <v>30</v>
      </c>
      <c r="Z10" s="111">
        <f t="shared" si="5"/>
        <v>28.564102564102566</v>
      </c>
      <c r="AA10">
        <f t="shared" si="6"/>
        <v>30.12672287672288</v>
      </c>
      <c r="AB10">
        <f t="shared" si="7"/>
        <v>1.5298840984937598</v>
      </c>
    </row>
    <row r="11" spans="1:28" x14ac:dyDescent="0.3">
      <c r="A11" s="96"/>
      <c r="B11" s="63"/>
      <c r="C11" s="12">
        <f>1.089</f>
        <v>1.089</v>
      </c>
      <c r="D11" s="27">
        <v>1.2070000000000001</v>
      </c>
      <c r="E11" s="12">
        <v>3.6999999999999998E-2</v>
      </c>
      <c r="F11" s="65"/>
      <c r="G11" s="13">
        <f t="shared" si="0"/>
        <v>3.3976124885215793</v>
      </c>
      <c r="H11" s="104"/>
      <c r="I11" s="19">
        <f t="shared" si="1"/>
        <v>1.052</v>
      </c>
      <c r="J11" s="65"/>
      <c r="K11" s="30">
        <f t="shared" si="2"/>
        <v>96.602387511478426</v>
      </c>
      <c r="L11" s="67"/>
      <c r="M11" s="49">
        <f t="shared" si="8"/>
        <v>0.1180000000000001</v>
      </c>
      <c r="N11" s="65"/>
      <c r="O11" s="21">
        <f t="shared" si="9"/>
        <v>0.1083562901744721</v>
      </c>
      <c r="P11" s="65"/>
      <c r="Q11" s="21">
        <f t="shared" si="10"/>
        <v>1.1700000000000002</v>
      </c>
      <c r="R11" s="65"/>
      <c r="S11" s="21">
        <f t="shared" si="11"/>
        <v>96.93454846727424</v>
      </c>
      <c r="T11" s="67"/>
      <c r="U11" s="19">
        <f t="shared" si="4"/>
        <v>3.0654515327257661</v>
      </c>
      <c r="V11" s="67"/>
      <c r="W11" s="69"/>
      <c r="X11" s="61"/>
      <c r="Z11" s="111">
        <f t="shared" si="5"/>
        <v>31.621621621621628</v>
      </c>
    </row>
    <row r="12" spans="1:28" x14ac:dyDescent="0.3">
      <c r="A12" s="96"/>
      <c r="B12" s="85">
        <v>60</v>
      </c>
      <c r="C12" s="24">
        <f>1.055</f>
        <v>1.0549999999999999</v>
      </c>
      <c r="D12" s="12">
        <v>1.1930000000000001</v>
      </c>
      <c r="E12" s="24">
        <v>3.7999999999999999E-2</v>
      </c>
      <c r="F12" s="73">
        <f>AVERAGE(E12:E14)</f>
        <v>3.7666666666666661E-2</v>
      </c>
      <c r="G12" s="26">
        <f t="shared" ref="G12" si="21">E12*100/C12</f>
        <v>3.6018957345971563</v>
      </c>
      <c r="H12" s="106">
        <f>AVERAGE(G12:G14)</f>
        <v>3.5849282719745634</v>
      </c>
      <c r="I12" s="25">
        <f t="shared" si="1"/>
        <v>1.0169999999999999</v>
      </c>
      <c r="J12" s="73">
        <f>AVERAGE(I12:I14)</f>
        <v>1.0129999999999999</v>
      </c>
      <c r="K12" s="29">
        <f t="shared" si="2"/>
        <v>96.398104265402836</v>
      </c>
      <c r="L12" s="78">
        <f>AVERAGE(K12:K14)</f>
        <v>96.415071728025438</v>
      </c>
      <c r="M12" s="48">
        <f t="shared" si="8"/>
        <v>0.13800000000000012</v>
      </c>
      <c r="N12" s="73">
        <f>AVERAGE(M12:M14)</f>
        <v>8.6666666666666739E-2</v>
      </c>
      <c r="O12" s="25">
        <f t="shared" si="9"/>
        <v>0.1308056872037916</v>
      </c>
      <c r="P12" s="73">
        <f>AVERAGE(O12:O14)</f>
        <v>8.2307332118289597E-2</v>
      </c>
      <c r="Q12" s="25">
        <f t="shared" si="10"/>
        <v>1.155</v>
      </c>
      <c r="R12" s="73">
        <f>AVERAGE(Q12:Q14)</f>
        <v>1.0996666666666668</v>
      </c>
      <c r="S12" s="25">
        <f t="shared" si="11"/>
        <v>96.814752724224633</v>
      </c>
      <c r="T12" s="73">
        <f>AVERAGE(S12,S14)</f>
        <v>96.652158145793535</v>
      </c>
      <c r="U12" s="25">
        <f t="shared" si="4"/>
        <v>3.1852472757753558</v>
      </c>
      <c r="V12" s="73">
        <f>AVERAGE(U12,U14)</f>
        <v>3.3478418542064632</v>
      </c>
      <c r="W12" s="76">
        <f t="shared" ref="W12" si="22">F12-$F$3</f>
        <v>-6.0000000000000053E-3</v>
      </c>
      <c r="X12" s="60">
        <f t="shared" ref="X12" si="23">-W12*100/$F$3</f>
        <v>13.740458015267189</v>
      </c>
      <c r="Z12" s="110">
        <f t="shared" si="5"/>
        <v>30.394736842105264</v>
      </c>
    </row>
    <row r="13" spans="1:28" x14ac:dyDescent="0.3">
      <c r="A13" s="96"/>
      <c r="B13" s="63"/>
      <c r="C13" s="12">
        <f>1.051</f>
        <v>1.0509999999999999</v>
      </c>
      <c r="D13" s="12">
        <v>1.165</v>
      </c>
      <c r="E13" s="12">
        <v>3.7999999999999999E-2</v>
      </c>
      <c r="F13" s="67"/>
      <c r="G13" s="33">
        <f>E13*100/C13</f>
        <v>3.6156041864890582</v>
      </c>
      <c r="H13" s="104"/>
      <c r="I13" s="35">
        <f t="shared" si="1"/>
        <v>1.0129999999999999</v>
      </c>
      <c r="J13" s="67"/>
      <c r="K13" s="54">
        <f t="shared" si="2"/>
        <v>96.384395813510935</v>
      </c>
      <c r="L13" s="67"/>
      <c r="M13" s="49">
        <f>D13-C13</f>
        <v>0.1140000000000001</v>
      </c>
      <c r="N13" s="67"/>
      <c r="O13" s="35">
        <f t="shared" si="9"/>
        <v>0.10846812559467184</v>
      </c>
      <c r="P13" s="67"/>
      <c r="Q13" s="35">
        <f t="shared" si="10"/>
        <v>1.127</v>
      </c>
      <c r="R13" s="67"/>
      <c r="S13" s="35">
        <f t="shared" si="11"/>
        <v>96.738197424892704</v>
      </c>
      <c r="T13" s="67"/>
      <c r="U13" s="35">
        <f t="shared" si="4"/>
        <v>3.2618025751072959</v>
      </c>
      <c r="V13" s="74"/>
      <c r="W13" s="67"/>
      <c r="X13" s="61"/>
      <c r="Y13">
        <v>60</v>
      </c>
      <c r="Z13" s="111">
        <f t="shared" si="5"/>
        <v>29.657894736842106</v>
      </c>
      <c r="AA13">
        <f t="shared" si="6"/>
        <v>29.179706021811285</v>
      </c>
      <c r="AB13">
        <f t="shared" si="7"/>
        <v>1.5119452265628865</v>
      </c>
    </row>
    <row r="14" spans="1:28" x14ac:dyDescent="0.3">
      <c r="A14" s="96"/>
      <c r="B14" s="86"/>
      <c r="C14" s="27">
        <f>1.046</f>
        <v>1.046</v>
      </c>
      <c r="D14" s="12">
        <v>1.054</v>
      </c>
      <c r="E14" s="27">
        <v>3.6999999999999998E-2</v>
      </c>
      <c r="F14" s="77"/>
      <c r="G14" s="34">
        <f>E14*100/C14</f>
        <v>3.5372848948374758</v>
      </c>
      <c r="H14" s="107"/>
      <c r="I14" s="28">
        <f t="shared" si="1"/>
        <v>1.0090000000000001</v>
      </c>
      <c r="J14" s="75"/>
      <c r="K14" s="31">
        <f t="shared" si="2"/>
        <v>96.46271510516253</v>
      </c>
      <c r="L14" s="79"/>
      <c r="M14" s="49">
        <f t="shared" si="8"/>
        <v>8.0000000000000071E-3</v>
      </c>
      <c r="N14" s="75"/>
      <c r="O14" s="28">
        <f t="shared" si="9"/>
        <v>7.6481835564053604E-3</v>
      </c>
      <c r="P14" s="75"/>
      <c r="Q14" s="28">
        <f t="shared" si="10"/>
        <v>1.0170000000000001</v>
      </c>
      <c r="R14" s="75"/>
      <c r="S14" s="28">
        <f t="shared" si="11"/>
        <v>96.489563567362438</v>
      </c>
      <c r="T14" s="75"/>
      <c r="U14" s="28">
        <f t="shared" si="4"/>
        <v>3.5104364326375705</v>
      </c>
      <c r="V14" s="75"/>
      <c r="W14" s="77"/>
      <c r="X14" s="62"/>
      <c r="Z14" s="111">
        <f t="shared" si="5"/>
        <v>27.486486486486491</v>
      </c>
    </row>
    <row r="15" spans="1:28" x14ac:dyDescent="0.3">
      <c r="A15" s="96"/>
      <c r="B15" s="63">
        <v>180</v>
      </c>
      <c r="C15" s="12">
        <f>1.091</f>
        <v>1.091</v>
      </c>
      <c r="D15" s="16">
        <v>1.3720000000000001</v>
      </c>
      <c r="E15" s="12">
        <v>3.1E-2</v>
      </c>
      <c r="F15" s="65">
        <f>AVERAGE(E15:E17)</f>
        <v>2.8999999999999998E-2</v>
      </c>
      <c r="G15" s="13">
        <f>E15*100/C15</f>
        <v>2.8414298808432634</v>
      </c>
      <c r="H15" s="104">
        <f>AVERAGE(G15:G17)</f>
        <v>2.6643298277923857</v>
      </c>
      <c r="I15" s="19">
        <f t="shared" ref="I15:I17" si="24">C15-E15</f>
        <v>1.06</v>
      </c>
      <c r="J15" s="65">
        <f>AVERAGE(I15:I17)</f>
        <v>1.0586666666666666</v>
      </c>
      <c r="K15" s="30">
        <f t="shared" ref="K15:K17" si="25">I15*100/C15</f>
        <v>97.158570119156735</v>
      </c>
      <c r="L15" s="67">
        <f>AVERAGE(K15:K17)</f>
        <v>97.3356701722076</v>
      </c>
      <c r="M15" s="51">
        <f t="shared" ref="M15:M17" si="26">D15-C15</f>
        <v>0.28100000000000014</v>
      </c>
      <c r="N15" s="65">
        <f>AVERAGE(M15:M17)</f>
        <v>0.17666666666666675</v>
      </c>
      <c r="O15" s="21">
        <f t="shared" ref="O15:O17" si="27">M15/C15</f>
        <v>0.25756186984417978</v>
      </c>
      <c r="P15" s="65">
        <f>AVERAGE(O15:O17)</f>
        <v>0.16179811102697975</v>
      </c>
      <c r="Q15" s="21">
        <f t="shared" ref="Q15:Q17" si="28">D15-E15</f>
        <v>1.3410000000000002</v>
      </c>
      <c r="R15" s="65">
        <f>AVERAGE(Q15:Q17)</f>
        <v>1.2353333333333334</v>
      </c>
      <c r="S15" s="21">
        <f t="shared" ref="S15:S17" si="29">Q15*100/D15</f>
        <v>97.740524781341122</v>
      </c>
      <c r="T15" s="67">
        <f>AVERAGE(S15,S17)</f>
        <v>97.806432603436519</v>
      </c>
      <c r="U15" s="19">
        <f t="shared" ref="U15:U17" si="30">E15*100/D15</f>
        <v>2.259475218658892</v>
      </c>
      <c r="V15" s="67">
        <f>AVERAGE(U15,U17)</f>
        <v>2.1935673965634885</v>
      </c>
      <c r="W15" s="69">
        <f t="shared" ref="W15" si="31">F15-$F$3</f>
        <v>-1.4666666666666668E-2</v>
      </c>
      <c r="X15" s="71">
        <f t="shared" ref="X15" si="32">-W15*100/$F$3</f>
        <v>33.587786259541986</v>
      </c>
      <c r="Z15" s="110">
        <f t="shared" si="5"/>
        <v>43.258064516129039</v>
      </c>
    </row>
    <row r="16" spans="1:28" x14ac:dyDescent="0.3">
      <c r="A16" s="96"/>
      <c r="B16" s="63"/>
      <c r="C16" s="12">
        <f>1.091</f>
        <v>1.091</v>
      </c>
      <c r="D16" s="12">
        <v>1.387</v>
      </c>
      <c r="E16" s="12">
        <v>3.4000000000000002E-2</v>
      </c>
      <c r="F16" s="65"/>
      <c r="G16" s="13">
        <f>E16*100/C16</f>
        <v>3.11640696608616</v>
      </c>
      <c r="H16" s="104"/>
      <c r="I16" s="19">
        <f t="shared" si="24"/>
        <v>1.0569999999999999</v>
      </c>
      <c r="J16" s="65"/>
      <c r="K16" s="30">
        <f t="shared" si="25"/>
        <v>96.883593033913826</v>
      </c>
      <c r="L16" s="67"/>
      <c r="M16" s="49">
        <f>D16-C16</f>
        <v>0.29600000000000004</v>
      </c>
      <c r="N16" s="65"/>
      <c r="O16" s="21">
        <f t="shared" si="27"/>
        <v>0.27131072410632451</v>
      </c>
      <c r="P16" s="67"/>
      <c r="Q16" s="35">
        <f t="shared" si="28"/>
        <v>1.353</v>
      </c>
      <c r="R16" s="65"/>
      <c r="S16" s="21">
        <f t="shared" si="29"/>
        <v>97.54866618601298</v>
      </c>
      <c r="T16" s="67"/>
      <c r="U16" s="19">
        <f t="shared" si="30"/>
        <v>2.4513338139870227</v>
      </c>
      <c r="V16" s="67"/>
      <c r="W16" s="69"/>
      <c r="X16" s="71"/>
      <c r="Y16">
        <v>180</v>
      </c>
      <c r="Z16" s="111">
        <f t="shared" si="5"/>
        <v>39.794117647058819</v>
      </c>
      <c r="AA16">
        <f>AVERAGE(Z15:Z17)</f>
        <v>43.017394054395957</v>
      </c>
      <c r="AB16">
        <f>_xlfn.STDEV.S(Z15:Z17)</f>
        <v>3.1099333832093259</v>
      </c>
    </row>
    <row r="17" spans="1:26" x14ac:dyDescent="0.3">
      <c r="A17" s="97"/>
      <c r="B17" s="64"/>
      <c r="C17" s="8">
        <f>1.081</f>
        <v>1.081</v>
      </c>
      <c r="D17" s="8">
        <v>1.034</v>
      </c>
      <c r="E17" s="8">
        <v>2.1999999999999999E-2</v>
      </c>
      <c r="F17" s="66"/>
      <c r="G17" s="20">
        <f>E17*100/C17</f>
        <v>2.0351526364477333</v>
      </c>
      <c r="H17" s="105"/>
      <c r="I17" s="23">
        <f t="shared" si="24"/>
        <v>1.0589999999999999</v>
      </c>
      <c r="J17" s="66"/>
      <c r="K17" s="55">
        <f t="shared" si="25"/>
        <v>97.964847363552266</v>
      </c>
      <c r="L17" s="68"/>
      <c r="M17" s="52">
        <f t="shared" si="26"/>
        <v>-4.6999999999999931E-2</v>
      </c>
      <c r="N17" s="66"/>
      <c r="O17" s="22">
        <f t="shared" si="27"/>
        <v>-4.3478260869565154E-2</v>
      </c>
      <c r="P17" s="66"/>
      <c r="Q17" s="22">
        <f t="shared" si="28"/>
        <v>1.012</v>
      </c>
      <c r="R17" s="66"/>
      <c r="S17" s="22">
        <f t="shared" si="29"/>
        <v>97.872340425531917</v>
      </c>
      <c r="T17" s="68"/>
      <c r="U17" s="23">
        <f t="shared" si="30"/>
        <v>2.1276595744680846</v>
      </c>
      <c r="V17" s="68"/>
      <c r="W17" s="70"/>
      <c r="X17" s="72"/>
      <c r="Z17" s="112">
        <f t="shared" si="5"/>
        <v>46</v>
      </c>
    </row>
  </sheetData>
  <mergeCells count="63">
    <mergeCell ref="P6:P8"/>
    <mergeCell ref="W1:X1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U1:V1"/>
    <mergeCell ref="F6:F8"/>
    <mergeCell ref="H6:H8"/>
    <mergeCell ref="J6:J8"/>
    <mergeCell ref="L6:L8"/>
    <mergeCell ref="N6:N8"/>
    <mergeCell ref="B9:B11"/>
    <mergeCell ref="F9:F11"/>
    <mergeCell ref="H9:H11"/>
    <mergeCell ref="J9:J11"/>
    <mergeCell ref="L9:L11"/>
    <mergeCell ref="R6:R8"/>
    <mergeCell ref="T6:T8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A3:A17"/>
    <mergeCell ref="B15:B17"/>
    <mergeCell ref="W15:W17"/>
    <mergeCell ref="X15:X17"/>
    <mergeCell ref="R15:R17"/>
    <mergeCell ref="T15:T17"/>
    <mergeCell ref="V15:V17"/>
    <mergeCell ref="V12:V14"/>
    <mergeCell ref="W12:W14"/>
    <mergeCell ref="X12:X14"/>
    <mergeCell ref="F15:F17"/>
    <mergeCell ref="H15:H17"/>
    <mergeCell ref="J15:J17"/>
    <mergeCell ref="L15:L17"/>
    <mergeCell ref="N15:N17"/>
    <mergeCell ref="P15:P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2AA7-CBD7-428F-9E9B-78DB0C0C4B96}">
  <dimension ref="A1:AB17"/>
  <sheetViews>
    <sheetView workbookViewId="0">
      <selection activeCell="Y1" sqref="Y1:AB17"/>
    </sheetView>
  </sheetViews>
  <sheetFormatPr defaultRowHeight="14.4" x14ac:dyDescent="0.3"/>
  <cols>
    <col min="1" max="1" width="13.6640625" customWidth="1"/>
    <col min="2" max="2" width="16.44140625" customWidth="1"/>
    <col min="3" max="3" width="19.6640625" customWidth="1"/>
    <col min="4" max="4" width="18" customWidth="1"/>
    <col min="6" max="6" width="11.5546875" customWidth="1"/>
    <col min="9" max="9" width="12.33203125" customWidth="1"/>
    <col min="11" max="11" width="11.6640625" customWidth="1"/>
    <col min="12" max="12" width="11.109375" customWidth="1"/>
  </cols>
  <sheetData>
    <row r="1" spans="1:28" x14ac:dyDescent="0.3">
      <c r="A1" s="1" t="s">
        <v>0</v>
      </c>
      <c r="B1" s="2" t="s">
        <v>1</v>
      </c>
      <c r="C1" s="3" t="s">
        <v>2</v>
      </c>
      <c r="D1" s="3" t="s">
        <v>3</v>
      </c>
      <c r="E1" s="101" t="s">
        <v>4</v>
      </c>
      <c r="F1" s="102"/>
      <c r="G1" s="89" t="s">
        <v>5</v>
      </c>
      <c r="H1" s="90"/>
      <c r="I1" s="90" t="s">
        <v>6</v>
      </c>
      <c r="J1" s="90"/>
      <c r="K1" s="90"/>
      <c r="L1" s="103"/>
      <c r="M1" s="90" t="s">
        <v>7</v>
      </c>
      <c r="N1" s="90"/>
      <c r="O1" s="90"/>
      <c r="P1" s="90"/>
      <c r="Q1" s="89" t="s">
        <v>8</v>
      </c>
      <c r="R1" s="90"/>
      <c r="S1" s="90"/>
      <c r="T1" s="90"/>
      <c r="U1" s="89" t="s">
        <v>9</v>
      </c>
      <c r="V1" s="90"/>
      <c r="W1" s="89" t="s">
        <v>10</v>
      </c>
      <c r="X1" s="94"/>
      <c r="Y1" t="s">
        <v>24</v>
      </c>
      <c r="Z1" t="s">
        <v>21</v>
      </c>
      <c r="AA1" t="s">
        <v>22</v>
      </c>
      <c r="AB1" t="s">
        <v>23</v>
      </c>
    </row>
    <row r="2" spans="1:28" x14ac:dyDescent="0.3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8" x14ac:dyDescent="0.3">
      <c r="A3" s="95">
        <v>65</v>
      </c>
      <c r="B3" s="63">
        <v>0</v>
      </c>
      <c r="C3" s="12">
        <f>1.011</f>
        <v>1.0109999999999999</v>
      </c>
      <c r="D3" s="12" t="s">
        <v>19</v>
      </c>
      <c r="E3" s="12">
        <v>4.2000000000000003E-2</v>
      </c>
      <c r="F3" s="65">
        <f>AVERAGE(E3:E5)</f>
        <v>4.1333333333333333E-2</v>
      </c>
      <c r="G3" s="19">
        <f t="shared" ref="G3:G11" si="0">E3*100/C3</f>
        <v>4.1543026706231458</v>
      </c>
      <c r="H3" s="67">
        <f>AVERAGE(G3:G5)</f>
        <v>4.0475532812831938</v>
      </c>
      <c r="I3" s="19">
        <f>C3-E3</f>
        <v>0.96899999999999986</v>
      </c>
      <c r="J3" s="65">
        <f>AVERAGE(I3:I5)</f>
        <v>0.98</v>
      </c>
      <c r="K3" s="21">
        <f>I3*100/C3</f>
        <v>95.845697329376861</v>
      </c>
      <c r="L3" s="67">
        <f>AVERAGE(K3:K5)</f>
        <v>95.952446718716814</v>
      </c>
      <c r="M3" s="39">
        <v>0</v>
      </c>
      <c r="N3" s="99">
        <v>0</v>
      </c>
      <c r="O3" s="41">
        <v>0</v>
      </c>
      <c r="P3" s="99">
        <v>0</v>
      </c>
      <c r="Q3" s="41"/>
      <c r="R3" s="40"/>
      <c r="S3" s="41"/>
      <c r="T3" s="41"/>
      <c r="U3" s="42"/>
      <c r="V3" s="41"/>
      <c r="W3" s="42"/>
      <c r="X3" s="43"/>
      <c r="Z3" s="110">
        <f>(C3-E3)/E3</f>
        <v>23.071428571428566</v>
      </c>
    </row>
    <row r="4" spans="1:28" x14ac:dyDescent="0.3">
      <c r="A4" s="96"/>
      <c r="B4" s="63"/>
      <c r="C4" s="12">
        <f>1.024</f>
        <v>1.024</v>
      </c>
      <c r="D4" s="12" t="s">
        <v>19</v>
      </c>
      <c r="E4" s="12">
        <v>4.1000000000000002E-2</v>
      </c>
      <c r="F4" s="65"/>
      <c r="G4" s="19">
        <f t="shared" si="0"/>
        <v>4.00390625</v>
      </c>
      <c r="H4" s="67"/>
      <c r="I4" s="19">
        <f t="shared" ref="I4:I17" si="1">C4-E4</f>
        <v>0.98299999999999998</v>
      </c>
      <c r="J4" s="65"/>
      <c r="K4" s="21">
        <f t="shared" ref="K4:K17" si="2">I4*100/C4</f>
        <v>95.99609375</v>
      </c>
      <c r="L4" s="67"/>
      <c r="M4" s="39">
        <v>0</v>
      </c>
      <c r="N4" s="99"/>
      <c r="O4" s="41">
        <v>0</v>
      </c>
      <c r="P4" s="99"/>
      <c r="Q4" s="41"/>
      <c r="R4" s="40"/>
      <c r="S4" s="41"/>
      <c r="T4" s="41"/>
      <c r="U4" s="42"/>
      <c r="V4" s="41"/>
      <c r="W4" s="42"/>
      <c r="X4" s="43"/>
      <c r="Y4">
        <v>0</v>
      </c>
      <c r="Z4" s="111">
        <f t="shared" ref="Z4:Z5" si="3">(C4-E4)/E4</f>
        <v>23.975609756097558</v>
      </c>
      <c r="AA4">
        <f>AVERAGE(Z3:Z5)</f>
        <v>23.714866434378624</v>
      </c>
      <c r="AB4">
        <f>_xlfn.STDEV.S(Z3:Z5)</f>
        <v>0.56055975381169909</v>
      </c>
    </row>
    <row r="5" spans="1:28" x14ac:dyDescent="0.3">
      <c r="A5" s="96"/>
      <c r="B5" s="98"/>
      <c r="C5" s="14">
        <f>1.029</f>
        <v>1.0289999999999999</v>
      </c>
      <c r="D5" s="14" t="s">
        <v>19</v>
      </c>
      <c r="E5" s="14">
        <v>4.1000000000000002E-2</v>
      </c>
      <c r="F5" s="65"/>
      <c r="G5" s="32">
        <f t="shared" si="0"/>
        <v>3.9844509232264342</v>
      </c>
      <c r="H5" s="79"/>
      <c r="I5" s="32">
        <f t="shared" si="1"/>
        <v>0.98799999999999988</v>
      </c>
      <c r="J5" s="93"/>
      <c r="K5" s="38">
        <f t="shared" si="2"/>
        <v>96.015549076773553</v>
      </c>
      <c r="L5" s="79"/>
      <c r="M5" s="44">
        <v>0</v>
      </c>
      <c r="N5" s="100"/>
      <c r="O5" s="46">
        <v>0</v>
      </c>
      <c r="P5" s="100"/>
      <c r="Q5" s="46"/>
      <c r="R5" s="45"/>
      <c r="S5" s="46"/>
      <c r="T5" s="46"/>
      <c r="U5" s="47"/>
      <c r="V5" s="46"/>
      <c r="W5" s="47"/>
      <c r="X5" s="43"/>
      <c r="Z5" s="111">
        <f t="shared" si="3"/>
        <v>24.097560975609753</v>
      </c>
    </row>
    <row r="6" spans="1:28" x14ac:dyDescent="0.3">
      <c r="A6" s="96"/>
      <c r="B6" s="88">
        <v>15</v>
      </c>
      <c r="C6" s="16">
        <f>1.07</f>
        <v>1.07</v>
      </c>
      <c r="D6" s="12">
        <v>1.157</v>
      </c>
      <c r="E6" s="16">
        <v>4.1000000000000002E-2</v>
      </c>
      <c r="F6" s="91">
        <f>AVERAGE(E6:E8)</f>
        <v>4.0666666666666663E-2</v>
      </c>
      <c r="G6" s="18">
        <f t="shared" si="0"/>
        <v>3.8317757009345796</v>
      </c>
      <c r="H6" s="78">
        <f>AVERAGE(G6:G8)</f>
        <v>3.7607741816092677</v>
      </c>
      <c r="I6" s="18">
        <f t="shared" si="1"/>
        <v>1.0290000000000001</v>
      </c>
      <c r="J6" s="87">
        <f>AVERAGE(I6:I8)</f>
        <v>1.0403333333333336</v>
      </c>
      <c r="K6" s="37">
        <f t="shared" si="2"/>
        <v>96.168224299065429</v>
      </c>
      <c r="L6" s="78">
        <f>AVERAGE(K6:K8)</f>
        <v>96.23922581839075</v>
      </c>
      <c r="M6" s="48">
        <f>D6-C6</f>
        <v>8.6999999999999966E-2</v>
      </c>
      <c r="N6" s="87">
        <f>AVERAGE(M6:M8)</f>
        <v>7.8666666666666593E-2</v>
      </c>
      <c r="O6" s="37">
        <f>M6/C6</f>
        <v>8.1308411214953233E-2</v>
      </c>
      <c r="P6" s="87">
        <f>AVERAGE(O6:O8)</f>
        <v>7.2854138726443279E-2</v>
      </c>
      <c r="Q6" s="37">
        <f>D6-E6</f>
        <v>1.1160000000000001</v>
      </c>
      <c r="R6" s="87">
        <f>AVERAGE(Q6:Q8)</f>
        <v>1.119</v>
      </c>
      <c r="S6" s="37">
        <f>Q6*100/D6</f>
        <v>96.456352636127917</v>
      </c>
      <c r="T6" s="78">
        <f>AVERAGE(S6,S8)</f>
        <v>96.633348731857069</v>
      </c>
      <c r="U6" s="18">
        <f t="shared" ref="U6:U17" si="4">E6*100/D6</f>
        <v>3.5436473638720836</v>
      </c>
      <c r="V6" s="78">
        <f>AVERAGE(U6,U8)</f>
        <v>3.3666512681429381</v>
      </c>
      <c r="W6" s="80">
        <f>F6-$F$3</f>
        <v>-6.6666666666666957E-4</v>
      </c>
      <c r="X6" s="82">
        <f>-W6*100/$F$3</f>
        <v>1.6129032258064586</v>
      </c>
      <c r="Z6" s="110">
        <f t="shared" ref="Z6:Z17" si="5">(D6-E6)/E6</f>
        <v>27.219512195121954</v>
      </c>
    </row>
    <row r="7" spans="1:28" x14ac:dyDescent="0.3">
      <c r="A7" s="96"/>
      <c r="B7" s="63"/>
      <c r="C7" s="12">
        <f>1.095</f>
        <v>1.095</v>
      </c>
      <c r="D7" s="12">
        <v>1.1619999999999999</v>
      </c>
      <c r="E7" s="12">
        <v>4.3999999999999997E-2</v>
      </c>
      <c r="F7" s="67"/>
      <c r="G7" s="35">
        <f t="shared" si="0"/>
        <v>4.0182648401826482</v>
      </c>
      <c r="H7" s="67"/>
      <c r="I7" s="35">
        <f t="shared" si="1"/>
        <v>1.0509999999999999</v>
      </c>
      <c r="J7" s="67"/>
      <c r="K7" s="35">
        <f t="shared" si="2"/>
        <v>95.981735159817347</v>
      </c>
      <c r="L7" s="67"/>
      <c r="M7" s="49">
        <f>D7-C7</f>
        <v>6.6999999999999948E-2</v>
      </c>
      <c r="N7" s="67"/>
      <c r="O7" s="35">
        <f>M7/C7</f>
        <v>6.1187214611872098E-2</v>
      </c>
      <c r="P7" s="67"/>
      <c r="Q7" s="35">
        <f>D7-E7</f>
        <v>1.1179999999999999</v>
      </c>
      <c r="R7" s="67"/>
      <c r="S7" s="35">
        <f>Q7*100/D7</f>
        <v>96.213425129087767</v>
      </c>
      <c r="T7" s="67"/>
      <c r="U7" s="35">
        <f t="shared" si="4"/>
        <v>3.78657487091222</v>
      </c>
      <c r="V7" s="67"/>
      <c r="W7" s="69"/>
      <c r="X7" s="71"/>
      <c r="Y7">
        <v>15</v>
      </c>
      <c r="Z7" s="111">
        <f t="shared" si="5"/>
        <v>25.409090909090907</v>
      </c>
      <c r="AA7">
        <f t="shared" ref="AA7:AA17" si="6">AVERAGE(Z6:Z8)</f>
        <v>27.659984818521405</v>
      </c>
      <c r="AB7">
        <f t="shared" ref="AB7:AB17" si="7">_xlfn.STDEV.S(Z6:Z8)</f>
        <v>2.5003993018628856</v>
      </c>
    </row>
    <row r="8" spans="1:28" x14ac:dyDescent="0.3">
      <c r="A8" s="96"/>
      <c r="B8" s="98"/>
      <c r="C8" s="14">
        <f>1.078</f>
        <v>1.0780000000000001</v>
      </c>
      <c r="D8" s="14">
        <v>1.1599999999999999</v>
      </c>
      <c r="E8" s="14">
        <v>3.6999999999999998E-2</v>
      </c>
      <c r="F8" s="92"/>
      <c r="G8" s="32">
        <f t="shared" si="0"/>
        <v>3.4322820037105748</v>
      </c>
      <c r="H8" s="79"/>
      <c r="I8" s="32">
        <f t="shared" si="1"/>
        <v>1.0410000000000001</v>
      </c>
      <c r="J8" s="93"/>
      <c r="K8" s="38">
        <f t="shared" si="2"/>
        <v>96.567717996289431</v>
      </c>
      <c r="L8" s="79"/>
      <c r="M8" s="50">
        <f t="shared" ref="M8:M17" si="8">D8-C8</f>
        <v>8.1999999999999851E-2</v>
      </c>
      <c r="N8" s="93"/>
      <c r="O8" s="38">
        <f t="shared" ref="O8:O17" si="9">M8/C8</f>
        <v>7.6066790352504493E-2</v>
      </c>
      <c r="P8" s="93"/>
      <c r="Q8" s="38">
        <f t="shared" ref="Q8:Q17" si="10">D8-E8</f>
        <v>1.123</v>
      </c>
      <c r="R8" s="93"/>
      <c r="S8" s="38">
        <f t="shared" ref="S8:S17" si="11">Q8*100/D8</f>
        <v>96.810344827586206</v>
      </c>
      <c r="T8" s="79"/>
      <c r="U8" s="32">
        <f t="shared" si="4"/>
        <v>3.1896551724137931</v>
      </c>
      <c r="V8" s="79"/>
      <c r="W8" s="81"/>
      <c r="X8" s="83"/>
      <c r="Z8" s="111">
        <f t="shared" si="5"/>
        <v>30.351351351351354</v>
      </c>
    </row>
    <row r="9" spans="1:28" x14ac:dyDescent="0.3">
      <c r="A9" s="96"/>
      <c r="B9" s="88">
        <v>30</v>
      </c>
      <c r="C9" s="12">
        <f>1.077</f>
        <v>1.077</v>
      </c>
      <c r="D9" s="24">
        <v>1.036</v>
      </c>
      <c r="E9" s="12">
        <v>3.1E-2</v>
      </c>
      <c r="F9" s="65">
        <f>AVERAGE(E9:E11)</f>
        <v>3.9333333333333331E-2</v>
      </c>
      <c r="G9" s="19">
        <f t="shared" si="0"/>
        <v>2.8783658310120708</v>
      </c>
      <c r="H9" s="78">
        <f t="shared" ref="H9" si="12">AVERAGE(G9:G11)</f>
        <v>3.6250468573808696</v>
      </c>
      <c r="I9" s="19">
        <f t="shared" si="1"/>
        <v>1.046</v>
      </c>
      <c r="J9" s="87">
        <f t="shared" ref="J9" si="13">AVERAGE(I9:I11)</f>
        <v>1.0433333333333332</v>
      </c>
      <c r="K9" s="21">
        <f t="shared" si="2"/>
        <v>97.121634168987939</v>
      </c>
      <c r="L9" s="78">
        <f>AVERAGE(K9:K11)</f>
        <v>96.374953142619134</v>
      </c>
      <c r="M9" s="48">
        <f t="shared" si="8"/>
        <v>-4.0999999999999925E-2</v>
      </c>
      <c r="N9" s="87">
        <f t="shared" ref="N9" si="14">AVERAGE(M9:M11)</f>
        <v>5.600000000000005E-2</v>
      </c>
      <c r="O9" s="21">
        <f t="shared" si="9"/>
        <v>-3.8068709377901508E-2</v>
      </c>
      <c r="P9" s="65">
        <f t="shared" ref="P9" si="15">AVERAGE(O9:O11)</f>
        <v>5.142150359615133E-2</v>
      </c>
      <c r="Q9" s="21">
        <f t="shared" si="10"/>
        <v>1.0050000000000001</v>
      </c>
      <c r="R9" s="65">
        <f t="shared" ref="R9" si="16">AVERAGE(Q9:Q11)</f>
        <v>1.0993333333333333</v>
      </c>
      <c r="S9" s="21">
        <f t="shared" si="11"/>
        <v>97.007722007722023</v>
      </c>
      <c r="T9" s="67">
        <f t="shared" ref="T9" si="17">AVERAGE(S9,S11)</f>
        <v>97.089979255789032</v>
      </c>
      <c r="U9" s="19">
        <f t="shared" si="4"/>
        <v>2.9922779922779923</v>
      </c>
      <c r="V9" s="67">
        <f t="shared" ref="V9" si="18">AVERAGE(U9,U11)</f>
        <v>2.9100207442109758</v>
      </c>
      <c r="W9" s="69">
        <f t="shared" ref="W9" si="19">F9-$F$3</f>
        <v>-2.0000000000000018E-3</v>
      </c>
      <c r="X9" s="84">
        <f t="shared" ref="X9" si="20">-W9*100/$F$3</f>
        <v>4.8387096774193594</v>
      </c>
      <c r="Z9" s="110">
        <f t="shared" si="5"/>
        <v>32.41935483870968</v>
      </c>
    </row>
    <row r="10" spans="1:28" x14ac:dyDescent="0.3">
      <c r="A10" s="96"/>
      <c r="B10" s="63"/>
      <c r="C10" s="12">
        <f>1.096</f>
        <v>1.0960000000000001</v>
      </c>
      <c r="D10" s="12">
        <v>1.2130000000000001</v>
      </c>
      <c r="E10" s="12">
        <v>5.3999999999999999E-2</v>
      </c>
      <c r="F10" s="65"/>
      <c r="G10" s="19">
        <f t="shared" si="0"/>
        <v>4.9270072992700733</v>
      </c>
      <c r="H10" s="67"/>
      <c r="I10" s="19">
        <f t="shared" si="1"/>
        <v>1.042</v>
      </c>
      <c r="J10" s="65"/>
      <c r="K10" s="21">
        <f t="shared" si="2"/>
        <v>95.072992700729927</v>
      </c>
      <c r="L10" s="67"/>
      <c r="M10" s="49">
        <f>D10-C10</f>
        <v>0.11699999999999999</v>
      </c>
      <c r="N10" s="65"/>
      <c r="O10" s="21">
        <f t="shared" si="9"/>
        <v>0.10675182481751823</v>
      </c>
      <c r="P10" s="65"/>
      <c r="Q10" s="21">
        <f t="shared" si="10"/>
        <v>1.159</v>
      </c>
      <c r="R10" s="65"/>
      <c r="S10" s="21">
        <f t="shared" si="11"/>
        <v>95.5482275350371</v>
      </c>
      <c r="T10" s="67"/>
      <c r="U10" s="19">
        <f t="shared" si="4"/>
        <v>4.451772464962902</v>
      </c>
      <c r="V10" s="67"/>
      <c r="W10" s="69"/>
      <c r="X10" s="61"/>
      <c r="Y10">
        <v>30</v>
      </c>
      <c r="Z10" s="111">
        <f t="shared" si="5"/>
        <v>21.462962962962965</v>
      </c>
      <c r="AA10">
        <f t="shared" si="6"/>
        <v>29.415318055103</v>
      </c>
      <c r="AB10">
        <f t="shared" si="7"/>
        <v>6.9552154025348099</v>
      </c>
    </row>
    <row r="11" spans="1:28" x14ac:dyDescent="0.3">
      <c r="A11" s="96"/>
      <c r="B11" s="63"/>
      <c r="C11" s="12">
        <f>1.075</f>
        <v>1.075</v>
      </c>
      <c r="D11" s="27">
        <v>1.167</v>
      </c>
      <c r="E11" s="12">
        <v>3.3000000000000002E-2</v>
      </c>
      <c r="F11" s="65"/>
      <c r="G11" s="19">
        <f t="shared" si="0"/>
        <v>3.0697674418604657</v>
      </c>
      <c r="H11" s="67"/>
      <c r="I11" s="19">
        <f t="shared" si="1"/>
        <v>1.042</v>
      </c>
      <c r="J11" s="65"/>
      <c r="K11" s="21">
        <f t="shared" si="2"/>
        <v>96.930232558139537</v>
      </c>
      <c r="L11" s="67"/>
      <c r="M11" s="49">
        <f t="shared" si="8"/>
        <v>9.2000000000000082E-2</v>
      </c>
      <c r="N11" s="65"/>
      <c r="O11" s="21">
        <f t="shared" si="9"/>
        <v>8.5581395348837283E-2</v>
      </c>
      <c r="P11" s="65"/>
      <c r="Q11" s="21">
        <f t="shared" si="10"/>
        <v>1.1340000000000001</v>
      </c>
      <c r="R11" s="65"/>
      <c r="S11" s="21">
        <f t="shared" si="11"/>
        <v>97.172236503856041</v>
      </c>
      <c r="T11" s="67"/>
      <c r="U11" s="19">
        <f t="shared" si="4"/>
        <v>2.8277634961439588</v>
      </c>
      <c r="V11" s="67"/>
      <c r="W11" s="69"/>
      <c r="X11" s="61"/>
      <c r="Z11" s="111">
        <f t="shared" si="5"/>
        <v>34.363636363636367</v>
      </c>
    </row>
    <row r="12" spans="1:28" x14ac:dyDescent="0.3">
      <c r="A12" s="96"/>
      <c r="B12" s="85">
        <v>60</v>
      </c>
      <c r="C12" s="24">
        <f>0.97</f>
        <v>0.97</v>
      </c>
      <c r="D12" s="56">
        <v>0.84</v>
      </c>
      <c r="E12" s="24">
        <v>2.1000000000000001E-2</v>
      </c>
      <c r="F12" s="73">
        <f>AVERAGE(E12:E14)</f>
        <v>3.7333333333333329E-2</v>
      </c>
      <c r="G12" s="25">
        <f t="shared" ref="G12" si="21">E12*100/C12</f>
        <v>2.1649484536082477</v>
      </c>
      <c r="H12" s="73">
        <f>AVERAGE(G12:G14)</f>
        <v>3.5199291484873876</v>
      </c>
      <c r="I12" s="25">
        <f t="shared" si="1"/>
        <v>0.94899999999999995</v>
      </c>
      <c r="J12" s="73">
        <f>AVERAGE(I12:I14)</f>
        <v>1.0073333333333334</v>
      </c>
      <c r="K12" s="25">
        <f t="shared" si="2"/>
        <v>97.835051546391753</v>
      </c>
      <c r="L12" s="78">
        <f>AVERAGE(K12:K14)</f>
        <v>96.480070851512622</v>
      </c>
      <c r="M12" s="48">
        <f t="shared" si="8"/>
        <v>-0.13</v>
      </c>
      <c r="N12" s="73">
        <f>AVERAGE(M12:M14)</f>
        <v>6.0666666666666612E-2</v>
      </c>
      <c r="O12" s="25">
        <f t="shared" si="9"/>
        <v>-0.13402061855670103</v>
      </c>
      <c r="P12" s="73">
        <f>AVERAGE(O12:O14)</f>
        <v>5.1196697209545283E-2</v>
      </c>
      <c r="Q12" s="25">
        <f t="shared" si="10"/>
        <v>0.81899999999999995</v>
      </c>
      <c r="R12" s="73">
        <f>AVERAGE(Q12:Q14)</f>
        <v>1.0679999999999998</v>
      </c>
      <c r="S12" s="25">
        <f t="shared" si="11"/>
        <v>97.5</v>
      </c>
      <c r="T12" s="73">
        <f>AVERAGE(S12,S14)</f>
        <v>97.228444632290788</v>
      </c>
      <c r="U12" s="25">
        <f t="shared" si="4"/>
        <v>2.5</v>
      </c>
      <c r="V12" s="73">
        <f>AVERAGE(U12,U14)</f>
        <v>2.7715553677092135</v>
      </c>
      <c r="W12" s="76">
        <f t="shared" ref="W12" si="22">F12-$F$3</f>
        <v>-4.0000000000000036E-3</v>
      </c>
      <c r="X12" s="60">
        <f t="shared" ref="X12" si="23">-W12*100/$F$3</f>
        <v>9.6774193548387188</v>
      </c>
      <c r="Z12" s="110">
        <f t="shared" si="5"/>
        <v>38.999999999999993</v>
      </c>
    </row>
    <row r="13" spans="1:28" x14ac:dyDescent="0.3">
      <c r="A13" s="96"/>
      <c r="B13" s="63"/>
      <c r="C13" s="12">
        <f>1.092</f>
        <v>1.0920000000000001</v>
      </c>
      <c r="D13" s="12">
        <v>1.2929999999999999</v>
      </c>
      <c r="E13" s="12">
        <v>5.5E-2</v>
      </c>
      <c r="F13" s="67"/>
      <c r="G13" s="35">
        <f>E13*100/C13</f>
        <v>5.0366300366300365</v>
      </c>
      <c r="H13" s="67"/>
      <c r="I13" s="35">
        <f t="shared" si="1"/>
        <v>1.0370000000000001</v>
      </c>
      <c r="J13" s="67"/>
      <c r="K13" s="35">
        <f t="shared" si="2"/>
        <v>94.963369963369971</v>
      </c>
      <c r="L13" s="67"/>
      <c r="M13" s="49">
        <f>D13-C13</f>
        <v>0.20099999999999985</v>
      </c>
      <c r="N13" s="67"/>
      <c r="O13" s="35">
        <f t="shared" si="9"/>
        <v>0.18406593406593391</v>
      </c>
      <c r="P13" s="67"/>
      <c r="Q13" s="35">
        <f t="shared" si="10"/>
        <v>1.238</v>
      </c>
      <c r="R13" s="67"/>
      <c r="S13" s="35">
        <f t="shared" si="11"/>
        <v>95.746326372776494</v>
      </c>
      <c r="T13" s="67"/>
      <c r="U13" s="35">
        <f t="shared" si="4"/>
        <v>4.2536736272235114</v>
      </c>
      <c r="V13" s="74"/>
      <c r="W13" s="67"/>
      <c r="X13" s="61"/>
      <c r="Y13">
        <v>60</v>
      </c>
      <c r="Z13" s="111">
        <f t="shared" si="5"/>
        <v>22.509090909090908</v>
      </c>
      <c r="AA13">
        <f t="shared" si="6"/>
        <v>31.123400673400671</v>
      </c>
      <c r="AB13">
        <f t="shared" si="7"/>
        <v>8.270168267852064</v>
      </c>
    </row>
    <row r="14" spans="1:28" x14ac:dyDescent="0.3">
      <c r="A14" s="96"/>
      <c r="B14" s="86"/>
      <c r="C14" s="27">
        <f>1.072</f>
        <v>1.0720000000000001</v>
      </c>
      <c r="D14" s="12">
        <v>1.1830000000000001</v>
      </c>
      <c r="E14" s="27">
        <v>3.5999999999999997E-2</v>
      </c>
      <c r="F14" s="77"/>
      <c r="G14" s="57">
        <f>E14*100/C14</f>
        <v>3.3582089552238799</v>
      </c>
      <c r="H14" s="75"/>
      <c r="I14" s="28">
        <f t="shared" si="1"/>
        <v>1.036</v>
      </c>
      <c r="J14" s="75"/>
      <c r="K14" s="28">
        <f t="shared" si="2"/>
        <v>96.641791044776127</v>
      </c>
      <c r="L14" s="79"/>
      <c r="M14" s="49">
        <f t="shared" si="8"/>
        <v>0.11099999999999999</v>
      </c>
      <c r="N14" s="75"/>
      <c r="O14" s="28">
        <f t="shared" si="9"/>
        <v>0.10354477611940296</v>
      </c>
      <c r="P14" s="75"/>
      <c r="Q14" s="28">
        <f t="shared" si="10"/>
        <v>1.147</v>
      </c>
      <c r="R14" s="75"/>
      <c r="S14" s="28">
        <f t="shared" si="11"/>
        <v>96.956889264581577</v>
      </c>
      <c r="T14" s="75"/>
      <c r="U14" s="28">
        <f t="shared" si="4"/>
        <v>3.0431107354184275</v>
      </c>
      <c r="V14" s="75"/>
      <c r="W14" s="77"/>
      <c r="X14" s="62"/>
      <c r="Z14" s="111">
        <f t="shared" si="5"/>
        <v>31.861111111111114</v>
      </c>
    </row>
    <row r="15" spans="1:28" x14ac:dyDescent="0.3">
      <c r="A15" s="96"/>
      <c r="B15" s="63">
        <v>180</v>
      </c>
      <c r="C15" s="12">
        <f>1.135</f>
        <v>1.135</v>
      </c>
      <c r="D15" s="16">
        <v>1.3819999999999999</v>
      </c>
      <c r="E15" s="12">
        <v>5.3999999999999999E-2</v>
      </c>
      <c r="F15" s="65">
        <f>AVERAGE(E15:E17)</f>
        <v>5.4333333333333338E-2</v>
      </c>
      <c r="G15" s="19">
        <f>E15*100/C15</f>
        <v>4.7577092511013221</v>
      </c>
      <c r="H15" s="67">
        <f>AVERAGE(G15:G17)</f>
        <v>4.8166646088596634</v>
      </c>
      <c r="I15" s="19">
        <f t="shared" si="1"/>
        <v>1.081</v>
      </c>
      <c r="J15" s="65">
        <f>AVERAGE(I15:I17)</f>
        <v>1.0736666666666668</v>
      </c>
      <c r="K15" s="21">
        <f t="shared" si="2"/>
        <v>95.242290748898668</v>
      </c>
      <c r="L15" s="67">
        <f>AVERAGE(K15:K17)</f>
        <v>95.183335391140346</v>
      </c>
      <c r="M15" s="51">
        <f t="shared" si="8"/>
        <v>0.24699999999999989</v>
      </c>
      <c r="N15" s="65">
        <f>AVERAGE(M15:M17)</f>
        <v>0.23566666666666661</v>
      </c>
      <c r="O15" s="21">
        <f t="shared" si="9"/>
        <v>0.21762114537444924</v>
      </c>
      <c r="P15" s="65">
        <f>AVERAGE(O15:O17)</f>
        <v>0.20884252443773554</v>
      </c>
      <c r="Q15" s="21">
        <f t="shared" si="10"/>
        <v>1.3279999999999998</v>
      </c>
      <c r="R15" s="65">
        <f>AVERAGE(Q15:Q17)</f>
        <v>1.3093333333333332</v>
      </c>
      <c r="S15" s="21">
        <f t="shared" si="11"/>
        <v>96.092619392185227</v>
      </c>
      <c r="T15" s="67">
        <f>AVERAGE(S15,S17)</f>
        <v>96.04781799171856</v>
      </c>
      <c r="U15" s="19">
        <f t="shared" si="4"/>
        <v>3.9073806078147619</v>
      </c>
      <c r="V15" s="67">
        <f>AVERAGE(U15,U17)</f>
        <v>3.9521820082814383</v>
      </c>
      <c r="W15" s="69">
        <f t="shared" ref="W15" si="24">F15-$F$3</f>
        <v>1.3000000000000005E-2</v>
      </c>
      <c r="X15" s="71">
        <f t="shared" ref="X15" si="25">-W15*100/$F$3</f>
        <v>-31.451612903225818</v>
      </c>
      <c r="Z15" s="110">
        <f t="shared" si="5"/>
        <v>24.592592592592592</v>
      </c>
    </row>
    <row r="16" spans="1:28" x14ac:dyDescent="0.3">
      <c r="A16" s="96"/>
      <c r="B16" s="63"/>
      <c r="C16" s="12">
        <f>1.129</f>
        <v>1.129</v>
      </c>
      <c r="D16" s="12">
        <v>1.383</v>
      </c>
      <c r="E16" s="12">
        <v>5.6000000000000001E-2</v>
      </c>
      <c r="F16" s="65"/>
      <c r="G16" s="19">
        <f>E16*100/C16</f>
        <v>4.9601417183348104</v>
      </c>
      <c r="H16" s="67"/>
      <c r="I16" s="19">
        <f t="shared" si="1"/>
        <v>1.073</v>
      </c>
      <c r="J16" s="65"/>
      <c r="K16" s="21">
        <f t="shared" si="2"/>
        <v>95.03985828166519</v>
      </c>
      <c r="L16" s="67"/>
      <c r="M16" s="49">
        <f>D16-C16</f>
        <v>0.254</v>
      </c>
      <c r="N16" s="65"/>
      <c r="O16" s="21">
        <f t="shared" si="9"/>
        <v>0.22497785651018601</v>
      </c>
      <c r="P16" s="67"/>
      <c r="Q16" s="35">
        <f t="shared" si="10"/>
        <v>1.327</v>
      </c>
      <c r="R16" s="65"/>
      <c r="S16" s="21">
        <f t="shared" si="11"/>
        <v>95.950831525668832</v>
      </c>
      <c r="T16" s="67"/>
      <c r="U16" s="19">
        <f t="shared" si="4"/>
        <v>4.0491684743311644</v>
      </c>
      <c r="V16" s="67"/>
      <c r="W16" s="69"/>
      <c r="X16" s="71"/>
      <c r="Y16">
        <v>180</v>
      </c>
      <c r="Z16" s="111">
        <f t="shared" si="5"/>
        <v>23.696428571428569</v>
      </c>
      <c r="AA16">
        <f>AVERAGE(Z15:Z17)</f>
        <v>24.102629696183158</v>
      </c>
      <c r="AB16">
        <f>_xlfn.STDEV.S(Z15:Z17)</f>
        <v>0.45391575650145372</v>
      </c>
    </row>
    <row r="17" spans="1:26" x14ac:dyDescent="0.3">
      <c r="A17" s="97"/>
      <c r="B17" s="64"/>
      <c r="C17" s="8">
        <f>1.12</f>
        <v>1.1200000000000001</v>
      </c>
      <c r="D17" s="8">
        <v>1.3260000000000001</v>
      </c>
      <c r="E17" s="8">
        <v>5.2999999999999999E-2</v>
      </c>
      <c r="F17" s="66"/>
      <c r="G17" s="23">
        <f>E17*100/C17</f>
        <v>4.7321428571428568</v>
      </c>
      <c r="H17" s="68"/>
      <c r="I17" s="23">
        <f t="shared" si="1"/>
        <v>1.0670000000000002</v>
      </c>
      <c r="J17" s="66"/>
      <c r="K17" s="22">
        <f t="shared" si="2"/>
        <v>95.267857142857153</v>
      </c>
      <c r="L17" s="68"/>
      <c r="M17" s="52">
        <f t="shared" si="8"/>
        <v>0.20599999999999996</v>
      </c>
      <c r="N17" s="66"/>
      <c r="O17" s="22">
        <f t="shared" si="9"/>
        <v>0.18392857142857139</v>
      </c>
      <c r="P17" s="66"/>
      <c r="Q17" s="22">
        <f t="shared" si="10"/>
        <v>1.2730000000000001</v>
      </c>
      <c r="R17" s="66"/>
      <c r="S17" s="22">
        <f t="shared" si="11"/>
        <v>96.003016591251892</v>
      </c>
      <c r="T17" s="68"/>
      <c r="U17" s="23">
        <f t="shared" si="4"/>
        <v>3.9969834087481142</v>
      </c>
      <c r="V17" s="68"/>
      <c r="W17" s="70"/>
      <c r="X17" s="72"/>
      <c r="Z17" s="112">
        <f t="shared" si="5"/>
        <v>24.018867924528305</v>
      </c>
    </row>
  </sheetData>
  <mergeCells count="63"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F6:F8"/>
    <mergeCell ref="H6:H8"/>
    <mergeCell ref="J6:J8"/>
    <mergeCell ref="L6:L8"/>
    <mergeCell ref="N6:N8"/>
    <mergeCell ref="R6:R8"/>
    <mergeCell ref="T6:T8"/>
    <mergeCell ref="B9:B11"/>
    <mergeCell ref="F9:F11"/>
    <mergeCell ref="H9:H11"/>
    <mergeCell ref="J9:J11"/>
    <mergeCell ref="L9:L11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V12:V14"/>
    <mergeCell ref="W12:W14"/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5D11-4F20-40D1-97B4-73C8375CFDDA}">
  <dimension ref="A1:AB17"/>
  <sheetViews>
    <sheetView workbookViewId="0">
      <selection activeCell="E47" sqref="E47"/>
    </sheetView>
  </sheetViews>
  <sheetFormatPr defaultRowHeight="14.4" x14ac:dyDescent="0.3"/>
  <cols>
    <col min="1" max="1" width="13.6640625" customWidth="1"/>
    <col min="2" max="2" width="16.44140625" customWidth="1"/>
    <col min="3" max="3" width="19.6640625" customWidth="1"/>
    <col min="4" max="4" width="18" customWidth="1"/>
    <col min="6" max="6" width="11.5546875" customWidth="1"/>
    <col min="9" max="9" width="12.33203125" customWidth="1"/>
    <col min="12" max="12" width="11.109375" customWidth="1"/>
  </cols>
  <sheetData>
    <row r="1" spans="1:28" x14ac:dyDescent="0.3">
      <c r="A1" s="1" t="s">
        <v>0</v>
      </c>
      <c r="B1" s="2" t="s">
        <v>1</v>
      </c>
      <c r="C1" s="3" t="s">
        <v>2</v>
      </c>
      <c r="D1" s="3" t="s">
        <v>3</v>
      </c>
      <c r="E1" s="101" t="s">
        <v>4</v>
      </c>
      <c r="F1" s="102"/>
      <c r="G1" s="89" t="s">
        <v>5</v>
      </c>
      <c r="H1" s="90"/>
      <c r="I1" s="90" t="s">
        <v>6</v>
      </c>
      <c r="J1" s="90"/>
      <c r="K1" s="90"/>
      <c r="L1" s="103"/>
      <c r="M1" s="90" t="s">
        <v>7</v>
      </c>
      <c r="N1" s="90"/>
      <c r="O1" s="90"/>
      <c r="P1" s="90"/>
      <c r="Q1" s="89" t="s">
        <v>8</v>
      </c>
      <c r="R1" s="90"/>
      <c r="S1" s="90"/>
      <c r="T1" s="90"/>
      <c r="U1" s="89" t="s">
        <v>9</v>
      </c>
      <c r="V1" s="90"/>
      <c r="W1" s="89" t="s">
        <v>10</v>
      </c>
      <c r="X1" s="94"/>
      <c r="Y1" t="s">
        <v>24</v>
      </c>
      <c r="Z1" t="s">
        <v>21</v>
      </c>
      <c r="AA1" t="s">
        <v>22</v>
      </c>
      <c r="AB1" t="s">
        <v>23</v>
      </c>
    </row>
    <row r="2" spans="1:28" x14ac:dyDescent="0.3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8" x14ac:dyDescent="0.3">
      <c r="A3" s="95">
        <v>65</v>
      </c>
      <c r="B3" s="63">
        <v>0</v>
      </c>
      <c r="C3" s="12">
        <f>1.026</f>
        <v>1.026</v>
      </c>
      <c r="D3" s="12" t="s">
        <v>19</v>
      </c>
      <c r="E3" s="12">
        <v>3.9E-2</v>
      </c>
      <c r="F3" s="65">
        <f>AVERAGE(E3:E5)</f>
        <v>3.9666666666666663E-2</v>
      </c>
      <c r="G3" s="13">
        <f t="shared" ref="G3:G11" si="0">E3*100/C3</f>
        <v>3.8011695906432745</v>
      </c>
      <c r="H3" s="104">
        <f>AVERAGE(G3:G5)</f>
        <v>3.7500463363798531</v>
      </c>
      <c r="I3" s="19">
        <f>C3-E3</f>
        <v>0.98699999999999999</v>
      </c>
      <c r="J3" s="65">
        <f>AVERAGE(I3:I5)</f>
        <v>1.0183333333333333</v>
      </c>
      <c r="K3" s="30">
        <f>I3*100/C3</f>
        <v>96.198830409356731</v>
      </c>
      <c r="L3" s="67">
        <f>AVERAGE(K3:K5)</f>
        <v>96.249953663620161</v>
      </c>
      <c r="M3" s="39">
        <v>0</v>
      </c>
      <c r="N3" s="99">
        <v>0</v>
      </c>
      <c r="O3" s="41">
        <v>0</v>
      </c>
      <c r="P3" s="99">
        <v>0</v>
      </c>
      <c r="Q3" s="41"/>
      <c r="R3" s="40"/>
      <c r="S3" s="41"/>
      <c r="T3" s="41"/>
      <c r="U3" s="42"/>
      <c r="V3" s="41"/>
      <c r="W3" s="42"/>
      <c r="X3" s="43"/>
      <c r="Z3" s="110">
        <f>(C3-E3)/E3</f>
        <v>25.307692307692307</v>
      </c>
    </row>
    <row r="4" spans="1:28" x14ac:dyDescent="0.3">
      <c r="A4" s="96"/>
      <c r="B4" s="63"/>
      <c r="C4" s="12">
        <f>1.075</f>
        <v>1.075</v>
      </c>
      <c r="D4" s="12" t="s">
        <v>19</v>
      </c>
      <c r="E4" s="12">
        <v>3.9E-2</v>
      </c>
      <c r="F4" s="65"/>
      <c r="G4" s="13">
        <f t="shared" si="0"/>
        <v>3.6279069767441863</v>
      </c>
      <c r="H4" s="104"/>
      <c r="I4" s="19">
        <f t="shared" ref="I4:I17" si="1">C4-E4</f>
        <v>1.036</v>
      </c>
      <c r="J4" s="65"/>
      <c r="K4" s="30">
        <f t="shared" ref="K4:K17" si="2">I4*100/C4</f>
        <v>96.372093023255829</v>
      </c>
      <c r="L4" s="67"/>
      <c r="M4" s="39">
        <v>0</v>
      </c>
      <c r="N4" s="99"/>
      <c r="O4" s="41">
        <v>0</v>
      </c>
      <c r="P4" s="99"/>
      <c r="Q4" s="41"/>
      <c r="R4" s="40"/>
      <c r="S4" s="41"/>
      <c r="T4" s="41"/>
      <c r="U4" s="42"/>
      <c r="V4" s="41"/>
      <c r="W4" s="42"/>
      <c r="X4" s="43"/>
      <c r="Y4">
        <v>0</v>
      </c>
      <c r="Z4" s="111">
        <f t="shared" ref="Z4:Z5" si="3">(C4-E4)/E4</f>
        <v>26.564102564102566</v>
      </c>
      <c r="AA4">
        <f>AVERAGE(Z3:Z5)</f>
        <v>25.680842193037318</v>
      </c>
      <c r="AB4">
        <f>_xlfn.STDEV.S(Z3:Z5)</f>
        <v>0.76798516511357728</v>
      </c>
    </row>
    <row r="5" spans="1:28" x14ac:dyDescent="0.3">
      <c r="A5" s="96"/>
      <c r="B5" s="98"/>
      <c r="C5" s="14">
        <f>1.073</f>
        <v>1.073</v>
      </c>
      <c r="D5" s="14" t="s">
        <v>19</v>
      </c>
      <c r="E5" s="14">
        <v>4.1000000000000002E-2</v>
      </c>
      <c r="F5" s="65"/>
      <c r="G5" s="15">
        <f t="shared" si="0"/>
        <v>3.8210624417520975</v>
      </c>
      <c r="H5" s="109"/>
      <c r="I5" s="32">
        <f t="shared" si="1"/>
        <v>1.032</v>
      </c>
      <c r="J5" s="93"/>
      <c r="K5" s="53">
        <f t="shared" si="2"/>
        <v>96.17893755824791</v>
      </c>
      <c r="L5" s="79"/>
      <c r="M5" s="44">
        <v>0</v>
      </c>
      <c r="N5" s="100"/>
      <c r="O5" s="46">
        <v>0</v>
      </c>
      <c r="P5" s="100"/>
      <c r="Q5" s="46"/>
      <c r="R5" s="45"/>
      <c r="S5" s="46"/>
      <c r="T5" s="46"/>
      <c r="U5" s="47"/>
      <c r="V5" s="46"/>
      <c r="W5" s="47"/>
      <c r="X5" s="43"/>
      <c r="Z5" s="111">
        <f t="shared" si="3"/>
        <v>25.170731707317074</v>
      </c>
    </row>
    <row r="6" spans="1:28" x14ac:dyDescent="0.3">
      <c r="A6" s="96"/>
      <c r="B6" s="88">
        <v>15</v>
      </c>
      <c r="C6" s="16">
        <f>1.063</f>
        <v>1.0629999999999999</v>
      </c>
      <c r="D6" s="12">
        <v>1.373</v>
      </c>
      <c r="E6" s="16">
        <v>2.7E-2</v>
      </c>
      <c r="F6" s="91">
        <f>AVERAGE(E6:E8)</f>
        <v>3.0333333333333334E-2</v>
      </c>
      <c r="G6" s="17">
        <f t="shared" si="0"/>
        <v>2.5399811853245535</v>
      </c>
      <c r="H6" s="108">
        <f>AVERAGE(G6:G8)</f>
        <v>2.9000478514119457</v>
      </c>
      <c r="I6" s="18">
        <f t="shared" si="1"/>
        <v>1.036</v>
      </c>
      <c r="J6" s="87">
        <f>AVERAGE(I6:I8)</f>
        <v>1.0166666666666666</v>
      </c>
      <c r="K6" s="36">
        <f t="shared" si="2"/>
        <v>97.460018814675465</v>
      </c>
      <c r="L6" s="78">
        <f>AVERAGE(K6:K8)</f>
        <v>97.099952148588059</v>
      </c>
      <c r="M6" s="48">
        <f>D6-C6</f>
        <v>0.31000000000000005</v>
      </c>
      <c r="N6" s="87">
        <f>AVERAGE(M6:M8)</f>
        <v>0.35533333333333345</v>
      </c>
      <c r="O6" s="37">
        <f>M6/C6</f>
        <v>0.29162746942615247</v>
      </c>
      <c r="P6" s="87">
        <f>AVERAGE(O6:O8)</f>
        <v>0.33972131700643654</v>
      </c>
      <c r="Q6" s="37">
        <f>D6-E6</f>
        <v>1.3460000000000001</v>
      </c>
      <c r="R6" s="87">
        <f>AVERAGE(Q6:Q8)</f>
        <v>1.3720000000000001</v>
      </c>
      <c r="S6" s="37">
        <f>Q6*100/D6</f>
        <v>98.03350327749456</v>
      </c>
      <c r="T6" s="78">
        <f>AVERAGE(S6,S8)</f>
        <v>97.942600564596205</v>
      </c>
      <c r="U6" s="18">
        <f t="shared" ref="U6:U17" si="4">E6*100/D6</f>
        <v>1.9664967225054626</v>
      </c>
      <c r="V6" s="78">
        <f>AVERAGE(U6,U8)</f>
        <v>2.0573994354038057</v>
      </c>
      <c r="W6" s="80">
        <f>F6-$F$3</f>
        <v>-9.3333333333333289E-3</v>
      </c>
      <c r="X6" s="82">
        <f>-W6*100/$F$3</f>
        <v>23.529411764705873</v>
      </c>
      <c r="Z6" s="110">
        <f t="shared" ref="Z6:Z17" si="5">(D6-E6)/E6</f>
        <v>49.851851851851855</v>
      </c>
    </row>
    <row r="7" spans="1:28" x14ac:dyDescent="0.3">
      <c r="A7" s="96"/>
      <c r="B7" s="63"/>
      <c r="C7" s="12">
        <f>1.037</f>
        <v>1.0369999999999999</v>
      </c>
      <c r="D7" s="12">
        <v>1.391</v>
      </c>
      <c r="E7" s="12">
        <v>3.3000000000000002E-2</v>
      </c>
      <c r="F7" s="67"/>
      <c r="G7" s="33">
        <f t="shared" si="0"/>
        <v>3.182256509161042</v>
      </c>
      <c r="H7" s="104"/>
      <c r="I7" s="35">
        <f t="shared" si="1"/>
        <v>1.004</v>
      </c>
      <c r="J7" s="67"/>
      <c r="K7" s="54">
        <f t="shared" si="2"/>
        <v>96.817743490838964</v>
      </c>
      <c r="L7" s="67"/>
      <c r="M7" s="49">
        <f>D7-C7</f>
        <v>0.35400000000000009</v>
      </c>
      <c r="N7" s="67"/>
      <c r="O7" s="35">
        <f>M7/C7</f>
        <v>0.34136933461909363</v>
      </c>
      <c r="P7" s="67"/>
      <c r="Q7" s="35">
        <f>D7-E7</f>
        <v>1.3580000000000001</v>
      </c>
      <c r="R7" s="67"/>
      <c r="S7" s="35">
        <f>Q7*100/D7</f>
        <v>97.627606038821</v>
      </c>
      <c r="T7" s="67"/>
      <c r="U7" s="35">
        <f t="shared" si="4"/>
        <v>2.3723939611790081</v>
      </c>
      <c r="V7" s="67"/>
      <c r="W7" s="69"/>
      <c r="X7" s="71"/>
      <c r="Y7">
        <v>15</v>
      </c>
      <c r="Z7" s="111">
        <f t="shared" si="5"/>
        <v>41.151515151515156</v>
      </c>
      <c r="AA7">
        <f t="shared" ref="AA7:AA17" si="6">AVERAGE(Z6:Z8)</f>
        <v>45.517251366713737</v>
      </c>
      <c r="AB7">
        <f t="shared" ref="AB7:AB17" si="7">_xlfn.STDEV.S(Z6:Z8)</f>
        <v>4.3502519180009811</v>
      </c>
    </row>
    <row r="8" spans="1:28" x14ac:dyDescent="0.3">
      <c r="A8" s="96"/>
      <c r="B8" s="98"/>
      <c r="C8" s="14">
        <f>1.041</f>
        <v>1.0409999999999999</v>
      </c>
      <c r="D8" s="14">
        <v>1.4430000000000001</v>
      </c>
      <c r="E8" s="14">
        <v>3.1E-2</v>
      </c>
      <c r="F8" s="92"/>
      <c r="G8" s="15">
        <f t="shared" si="0"/>
        <v>2.9779058597502406</v>
      </c>
      <c r="H8" s="109"/>
      <c r="I8" s="32">
        <f t="shared" si="1"/>
        <v>1.01</v>
      </c>
      <c r="J8" s="93"/>
      <c r="K8" s="53">
        <f t="shared" si="2"/>
        <v>97.022094140249763</v>
      </c>
      <c r="L8" s="79"/>
      <c r="M8" s="50">
        <f t="shared" ref="M8:M17" si="8">D8-C8</f>
        <v>0.40200000000000014</v>
      </c>
      <c r="N8" s="93"/>
      <c r="O8" s="38">
        <f t="shared" ref="O8:O17" si="9">M8/C8</f>
        <v>0.38616714697406357</v>
      </c>
      <c r="P8" s="93"/>
      <c r="Q8" s="38">
        <f t="shared" ref="Q8:Q17" si="10">D8-E8</f>
        <v>1.4120000000000001</v>
      </c>
      <c r="R8" s="93"/>
      <c r="S8" s="38">
        <f t="shared" ref="S8:S17" si="11">Q8*100/D8</f>
        <v>97.851697851697864</v>
      </c>
      <c r="T8" s="79"/>
      <c r="U8" s="32">
        <f t="shared" si="4"/>
        <v>2.1483021483021485</v>
      </c>
      <c r="V8" s="79"/>
      <c r="W8" s="81"/>
      <c r="X8" s="83"/>
      <c r="Z8" s="111">
        <f t="shared" si="5"/>
        <v>45.548387096774199</v>
      </c>
    </row>
    <row r="9" spans="1:28" x14ac:dyDescent="0.3">
      <c r="A9" s="96"/>
      <c r="B9" s="88">
        <v>30</v>
      </c>
      <c r="C9" s="12">
        <f>1.027</f>
        <v>1.0269999999999999</v>
      </c>
      <c r="D9" s="24">
        <v>1.546</v>
      </c>
      <c r="E9" s="12">
        <v>2.5999999999999999E-2</v>
      </c>
      <c r="F9" s="65">
        <f>AVERAGE(E9:E11)</f>
        <v>2.5666666666666667E-2</v>
      </c>
      <c r="G9" s="13">
        <f t="shared" si="0"/>
        <v>2.5316455696202533</v>
      </c>
      <c r="H9" s="108">
        <f t="shared" ref="H9" si="12">AVERAGE(G9:G11)</f>
        <v>2.4907346585892447</v>
      </c>
      <c r="I9" s="19">
        <f t="shared" si="1"/>
        <v>1.0009999999999999</v>
      </c>
      <c r="J9" s="87">
        <f t="shared" ref="J9" si="13">AVERAGE(I9:I11)</f>
        <v>1.0036666666666667</v>
      </c>
      <c r="K9" s="30">
        <f t="shared" si="2"/>
        <v>97.468354430379748</v>
      </c>
      <c r="L9" s="78">
        <f>AVERAGE(K9:K11)</f>
        <v>97.509265341410753</v>
      </c>
      <c r="M9" s="48">
        <f t="shared" si="8"/>
        <v>0.51900000000000013</v>
      </c>
      <c r="N9" s="87">
        <f t="shared" ref="N9" si="14">AVERAGE(M9:M11)</f>
        <v>0.375</v>
      </c>
      <c r="O9" s="21">
        <f t="shared" si="9"/>
        <v>0.50535540408958146</v>
      </c>
      <c r="P9" s="65">
        <f t="shared" ref="P9" si="15">AVERAGE(O9:O11)</f>
        <v>0.36239056147818899</v>
      </c>
      <c r="Q9" s="21">
        <f t="shared" si="10"/>
        <v>1.52</v>
      </c>
      <c r="R9" s="65">
        <f t="shared" ref="R9" si="16">AVERAGE(Q9:Q11)</f>
        <v>1.3786666666666667</v>
      </c>
      <c r="S9" s="21">
        <f t="shared" si="11"/>
        <v>98.318240620957312</v>
      </c>
      <c r="T9" s="67">
        <f t="shared" ref="T9" si="17">AVERAGE(S9,S11)</f>
        <v>98.169447332853878</v>
      </c>
      <c r="U9" s="19">
        <f t="shared" si="4"/>
        <v>1.6817593790426908</v>
      </c>
      <c r="V9" s="67">
        <f t="shared" ref="V9" si="18">AVERAGE(U9,U11)</f>
        <v>1.8305526671461303</v>
      </c>
      <c r="W9" s="69">
        <f t="shared" ref="W9" si="19">F9-$F$3</f>
        <v>-1.3999999999999995E-2</v>
      </c>
      <c r="X9" s="84">
        <f t="shared" ref="X9" si="20">-W9*100/$F$3</f>
        <v>35.294117647058812</v>
      </c>
      <c r="Z9" s="110">
        <f t="shared" si="5"/>
        <v>58.461538461538467</v>
      </c>
    </row>
    <row r="10" spans="1:28" x14ac:dyDescent="0.3">
      <c r="A10" s="96"/>
      <c r="B10" s="63"/>
      <c r="C10" s="12">
        <f>1.054</f>
        <v>1.054</v>
      </c>
      <c r="D10" s="12">
        <v>1.5049999999999999</v>
      </c>
      <c r="E10" s="12">
        <v>2.8000000000000001E-2</v>
      </c>
      <c r="F10" s="65"/>
      <c r="G10" s="13">
        <f t="shared" si="0"/>
        <v>2.6565464895635675</v>
      </c>
      <c r="H10" s="104"/>
      <c r="I10" s="19">
        <f t="shared" si="1"/>
        <v>1.026</v>
      </c>
      <c r="J10" s="65"/>
      <c r="K10" s="30">
        <f t="shared" si="2"/>
        <v>97.343453510436433</v>
      </c>
      <c r="L10" s="67"/>
      <c r="M10" s="49">
        <f>D10-C10</f>
        <v>0.45099999999999985</v>
      </c>
      <c r="N10" s="65"/>
      <c r="O10" s="21">
        <f t="shared" si="9"/>
        <v>0.42789373814041731</v>
      </c>
      <c r="P10" s="65"/>
      <c r="Q10" s="21">
        <f t="shared" si="10"/>
        <v>1.4769999999999999</v>
      </c>
      <c r="R10" s="65"/>
      <c r="S10" s="21">
        <f t="shared" si="11"/>
        <v>98.139534883720927</v>
      </c>
      <c r="T10" s="67"/>
      <c r="U10" s="19">
        <f t="shared" si="4"/>
        <v>1.8604651162790702</v>
      </c>
      <c r="V10" s="67"/>
      <c r="W10" s="69"/>
      <c r="X10" s="61"/>
      <c r="Y10">
        <v>30</v>
      </c>
      <c r="Z10" s="111">
        <f t="shared" si="5"/>
        <v>52.749999999999993</v>
      </c>
      <c r="AA10">
        <f t="shared" si="6"/>
        <v>53.577759197324411</v>
      </c>
      <c r="AB10">
        <f t="shared" si="7"/>
        <v>4.527018001584139</v>
      </c>
    </row>
    <row r="11" spans="1:28" x14ac:dyDescent="0.3">
      <c r="A11" s="96"/>
      <c r="B11" s="63"/>
      <c r="C11" s="12">
        <f>1.007</f>
        <v>1.0069999999999999</v>
      </c>
      <c r="D11" s="27">
        <v>1.1619999999999999</v>
      </c>
      <c r="E11" s="12">
        <v>2.3E-2</v>
      </c>
      <c r="F11" s="65"/>
      <c r="G11" s="13">
        <f t="shared" si="0"/>
        <v>2.2840119165839128</v>
      </c>
      <c r="H11" s="104"/>
      <c r="I11" s="19">
        <f t="shared" si="1"/>
        <v>0.98399999999999987</v>
      </c>
      <c r="J11" s="65"/>
      <c r="K11" s="30">
        <f t="shared" si="2"/>
        <v>97.715988083416093</v>
      </c>
      <c r="L11" s="67"/>
      <c r="M11" s="49">
        <f t="shared" si="8"/>
        <v>0.15500000000000003</v>
      </c>
      <c r="N11" s="65"/>
      <c r="O11" s="21">
        <f t="shared" si="9"/>
        <v>0.15392254220456805</v>
      </c>
      <c r="P11" s="65"/>
      <c r="Q11" s="21">
        <f t="shared" si="10"/>
        <v>1.139</v>
      </c>
      <c r="R11" s="65"/>
      <c r="S11" s="21">
        <f t="shared" si="11"/>
        <v>98.020654044750444</v>
      </c>
      <c r="T11" s="67"/>
      <c r="U11" s="19">
        <f t="shared" si="4"/>
        <v>1.9793459552495696</v>
      </c>
      <c r="V11" s="67"/>
      <c r="W11" s="69"/>
      <c r="X11" s="61"/>
      <c r="Z11" s="111">
        <f t="shared" si="5"/>
        <v>49.521739130434781</v>
      </c>
    </row>
    <row r="12" spans="1:28" x14ac:dyDescent="0.3">
      <c r="A12" s="96"/>
      <c r="B12" s="85">
        <v>60</v>
      </c>
      <c r="C12" s="24">
        <f>1.033</f>
        <v>1.0329999999999999</v>
      </c>
      <c r="D12" s="12">
        <v>2.0499999999999998</v>
      </c>
      <c r="E12" s="24">
        <v>2.5000000000000001E-2</v>
      </c>
      <c r="F12" s="73">
        <f>AVERAGE(E12:E14)</f>
        <v>2.4000000000000004E-2</v>
      </c>
      <c r="G12" s="26">
        <f t="shared" ref="G12" si="21">E12*100/C12</f>
        <v>2.4201355275895451</v>
      </c>
      <c r="H12" s="106">
        <f>AVERAGE(G12:G14)</f>
        <v>2.3266146591527259</v>
      </c>
      <c r="I12" s="25">
        <f t="shared" si="1"/>
        <v>1.008</v>
      </c>
      <c r="J12" s="73">
        <f>AVERAGE(I12:I14)</f>
        <v>1.0073333333333332</v>
      </c>
      <c r="K12" s="29">
        <f t="shared" si="2"/>
        <v>97.579864472410463</v>
      </c>
      <c r="L12" s="78">
        <f>AVERAGE(K12:K14)</f>
        <v>97.67338534084729</v>
      </c>
      <c r="M12" s="48">
        <f t="shared" si="8"/>
        <v>1.0169999999999999</v>
      </c>
      <c r="N12" s="73">
        <f>AVERAGE(M12:M14)</f>
        <v>0.78466666666666673</v>
      </c>
      <c r="O12" s="25">
        <f t="shared" si="9"/>
        <v>0.98451113262342693</v>
      </c>
      <c r="P12" s="73">
        <f>AVERAGE(O12:O14)</f>
        <v>0.76127487792253057</v>
      </c>
      <c r="Q12" s="25">
        <f t="shared" si="10"/>
        <v>2.0249999999999999</v>
      </c>
      <c r="R12" s="73">
        <f>AVERAGE(Q12:Q14)</f>
        <v>1.7919999999999998</v>
      </c>
      <c r="S12" s="25">
        <f t="shared" si="11"/>
        <v>98.780487804878064</v>
      </c>
      <c r="T12" s="73">
        <f>AVERAGE(S12,S14)</f>
        <v>98.815531258760871</v>
      </c>
      <c r="U12" s="25">
        <f t="shared" si="4"/>
        <v>1.2195121951219514</v>
      </c>
      <c r="V12" s="73">
        <f>AVERAGE(U12,U14)</f>
        <v>1.1844687412391366</v>
      </c>
      <c r="W12" s="76">
        <f t="shared" ref="W12" si="22">F12-$F$3</f>
        <v>-1.5666666666666659E-2</v>
      </c>
      <c r="X12" s="60">
        <f t="shared" ref="X12" si="23">-W12*100/$F$3</f>
        <v>39.495798319327712</v>
      </c>
      <c r="Z12" s="110">
        <f t="shared" si="5"/>
        <v>80.999999999999986</v>
      </c>
    </row>
    <row r="13" spans="1:28" x14ac:dyDescent="0.3">
      <c r="A13" s="96"/>
      <c r="B13" s="63"/>
      <c r="C13" s="12">
        <f>1.035</f>
        <v>1.0349999999999999</v>
      </c>
      <c r="D13" s="12">
        <v>1.484</v>
      </c>
      <c r="E13" s="12">
        <v>2.5000000000000001E-2</v>
      </c>
      <c r="F13" s="67"/>
      <c r="G13" s="33">
        <f>E13*100/C13</f>
        <v>2.4154589371980677</v>
      </c>
      <c r="H13" s="104"/>
      <c r="I13" s="35">
        <f t="shared" si="1"/>
        <v>1.01</v>
      </c>
      <c r="J13" s="67"/>
      <c r="K13" s="54">
        <f t="shared" si="2"/>
        <v>97.584541062801947</v>
      </c>
      <c r="L13" s="67"/>
      <c r="M13" s="49">
        <f>D13-C13</f>
        <v>0.44900000000000007</v>
      </c>
      <c r="N13" s="67"/>
      <c r="O13" s="35">
        <f t="shared" si="9"/>
        <v>0.43381642512077306</v>
      </c>
      <c r="P13" s="67"/>
      <c r="Q13" s="35">
        <f t="shared" si="10"/>
        <v>1.4590000000000001</v>
      </c>
      <c r="R13" s="67"/>
      <c r="S13" s="35">
        <f t="shared" si="11"/>
        <v>98.315363881401623</v>
      </c>
      <c r="T13" s="67"/>
      <c r="U13" s="35">
        <f t="shared" si="4"/>
        <v>1.6846361185983827</v>
      </c>
      <c r="V13" s="74"/>
      <c r="W13" s="67"/>
      <c r="X13" s="61"/>
      <c r="Y13">
        <v>60</v>
      </c>
      <c r="Z13" s="111">
        <f t="shared" si="5"/>
        <v>58.36</v>
      </c>
      <c r="AA13">
        <f t="shared" si="6"/>
        <v>75.11999999999999</v>
      </c>
      <c r="AB13">
        <f t="shared" si="7"/>
        <v>14.72831287011514</v>
      </c>
    </row>
    <row r="14" spans="1:28" x14ac:dyDescent="0.3">
      <c r="A14" s="96"/>
      <c r="B14" s="86"/>
      <c r="C14" s="27">
        <f>1.026</f>
        <v>1.026</v>
      </c>
      <c r="D14" s="12">
        <v>1.9139999999999999</v>
      </c>
      <c r="E14" s="27">
        <v>2.1999999999999999E-2</v>
      </c>
      <c r="F14" s="77"/>
      <c r="G14" s="34">
        <f>E14*100/C14</f>
        <v>2.144249512670565</v>
      </c>
      <c r="H14" s="107"/>
      <c r="I14" s="28">
        <f t="shared" si="1"/>
        <v>1.004</v>
      </c>
      <c r="J14" s="75"/>
      <c r="K14" s="31">
        <f t="shared" si="2"/>
        <v>97.855750487329445</v>
      </c>
      <c r="L14" s="79"/>
      <c r="M14" s="49">
        <f t="shared" si="8"/>
        <v>0.8879999999999999</v>
      </c>
      <c r="N14" s="75"/>
      <c r="O14" s="28">
        <f t="shared" si="9"/>
        <v>0.86549707602339165</v>
      </c>
      <c r="P14" s="75"/>
      <c r="Q14" s="28">
        <f t="shared" si="10"/>
        <v>1.8919999999999999</v>
      </c>
      <c r="R14" s="75"/>
      <c r="S14" s="28">
        <f t="shared" si="11"/>
        <v>98.850574712643677</v>
      </c>
      <c r="T14" s="75"/>
      <c r="U14" s="28">
        <f t="shared" si="4"/>
        <v>1.1494252873563218</v>
      </c>
      <c r="V14" s="75"/>
      <c r="W14" s="77"/>
      <c r="X14" s="62"/>
      <c r="Z14" s="111">
        <f t="shared" si="5"/>
        <v>86</v>
      </c>
    </row>
    <row r="15" spans="1:28" x14ac:dyDescent="0.3">
      <c r="A15" s="96"/>
      <c r="B15" s="63">
        <v>180</v>
      </c>
      <c r="C15" s="12">
        <f>1.037</f>
        <v>1.0369999999999999</v>
      </c>
      <c r="D15" s="16">
        <v>1.0820000000000001</v>
      </c>
      <c r="E15" s="12">
        <v>0.01</v>
      </c>
      <c r="F15" s="65">
        <f>AVERAGE(E15:E17)</f>
        <v>1.1333333333333334E-2</v>
      </c>
      <c r="G15" s="13">
        <f>E15*100/C15</f>
        <v>0.96432015429122475</v>
      </c>
      <c r="H15" s="104">
        <f>AVERAGE(G15:G17)</f>
        <v>1.0869224326079057</v>
      </c>
      <c r="I15" s="19">
        <f t="shared" si="1"/>
        <v>1.0269999999999999</v>
      </c>
      <c r="J15" s="65">
        <f>AVERAGE(I15:I17)</f>
        <v>1.0336666666666667</v>
      </c>
      <c r="K15" s="30">
        <f t="shared" si="2"/>
        <v>99.035679845708771</v>
      </c>
      <c r="L15" s="67">
        <f>AVERAGE(K15:K17)</f>
        <v>98.913077567392079</v>
      </c>
      <c r="M15" s="51">
        <f t="shared" si="8"/>
        <v>4.5000000000000151E-2</v>
      </c>
      <c r="N15" s="65">
        <f>AVERAGE(M15:M17)</f>
        <v>0.29699999999999999</v>
      </c>
      <c r="O15" s="21">
        <f t="shared" si="9"/>
        <v>4.3394406943105257E-2</v>
      </c>
      <c r="P15" s="65">
        <f>AVERAGE(O15:O17)</f>
        <v>0.29143123745746452</v>
      </c>
      <c r="Q15" s="21">
        <f t="shared" si="10"/>
        <v>1.0720000000000001</v>
      </c>
      <c r="R15" s="65">
        <f>AVERAGE(Q15:Q17)</f>
        <v>1.3306666666666667</v>
      </c>
      <c r="S15" s="21">
        <f t="shared" si="11"/>
        <v>99.075785582255079</v>
      </c>
      <c r="T15" s="67">
        <f>AVERAGE(S15,S17)</f>
        <v>99.201677613413807</v>
      </c>
      <c r="U15" s="19">
        <f t="shared" si="4"/>
        <v>0.92421441774491675</v>
      </c>
      <c r="V15" s="67">
        <f>AVERAGE(U15,U17)</f>
        <v>0.79832238658619525</v>
      </c>
      <c r="W15" s="69">
        <f t="shared" ref="W15" si="24">F15-$F$3</f>
        <v>-2.8333333333333328E-2</v>
      </c>
      <c r="X15" s="71">
        <f t="shared" ref="X15" si="25">-W15*100/$F$3</f>
        <v>71.428571428571431</v>
      </c>
      <c r="Z15" s="110">
        <f t="shared" si="5"/>
        <v>107.2</v>
      </c>
    </row>
    <row r="16" spans="1:28" x14ac:dyDescent="0.3">
      <c r="A16" s="96"/>
      <c r="B16" s="63"/>
      <c r="C16" s="12">
        <f>1.07</f>
        <v>1.07</v>
      </c>
      <c r="D16" s="12">
        <v>0.86199999999999999</v>
      </c>
      <c r="E16" s="12">
        <v>0.01</v>
      </c>
      <c r="F16" s="65"/>
      <c r="G16" s="13">
        <f>E16*100/C16</f>
        <v>0.93457943925233644</v>
      </c>
      <c r="H16" s="104"/>
      <c r="I16" s="19">
        <f t="shared" si="1"/>
        <v>1.06</v>
      </c>
      <c r="J16" s="65"/>
      <c r="K16" s="30">
        <f t="shared" si="2"/>
        <v>99.065420560747654</v>
      </c>
      <c r="L16" s="67"/>
      <c r="M16" s="49">
        <f>D16-C16</f>
        <v>-0.20800000000000007</v>
      </c>
      <c r="N16" s="65"/>
      <c r="O16" s="21">
        <f t="shared" si="9"/>
        <v>-0.19439252336448604</v>
      </c>
      <c r="P16" s="67"/>
      <c r="Q16" s="35">
        <f t="shared" si="10"/>
        <v>0.85199999999999998</v>
      </c>
      <c r="R16" s="65"/>
      <c r="S16" s="21">
        <f t="shared" si="11"/>
        <v>98.83990719257541</v>
      </c>
      <c r="T16" s="67"/>
      <c r="U16" s="19">
        <f t="shared" si="4"/>
        <v>1.160092807424594</v>
      </c>
      <c r="V16" s="67"/>
      <c r="W16" s="69"/>
      <c r="X16" s="71"/>
      <c r="Y16">
        <v>180</v>
      </c>
      <c r="Z16" s="111">
        <f t="shared" si="5"/>
        <v>85.2</v>
      </c>
      <c r="AA16">
        <f>AVERAGE(Z15:Z17)</f>
        <v>113.37142857142858</v>
      </c>
      <c r="AB16">
        <f>_xlfn.STDEV.S(Z15:Z17)</f>
        <v>31.710784877561995</v>
      </c>
    </row>
    <row r="17" spans="1:26" x14ac:dyDescent="0.3">
      <c r="A17" s="97"/>
      <c r="B17" s="64"/>
      <c r="C17" s="8">
        <f>1.028</f>
        <v>1.028</v>
      </c>
      <c r="D17" s="8">
        <v>2.0819999999999999</v>
      </c>
      <c r="E17" s="8">
        <v>1.4E-2</v>
      </c>
      <c r="F17" s="66"/>
      <c r="G17" s="20">
        <f>E17*100/C17</f>
        <v>1.3618677042801557</v>
      </c>
      <c r="H17" s="105"/>
      <c r="I17" s="23">
        <f t="shared" si="1"/>
        <v>1.014</v>
      </c>
      <c r="J17" s="66"/>
      <c r="K17" s="55">
        <f t="shared" si="2"/>
        <v>98.638132295719842</v>
      </c>
      <c r="L17" s="68"/>
      <c r="M17" s="52">
        <f t="shared" si="8"/>
        <v>1.0539999999999998</v>
      </c>
      <c r="N17" s="66"/>
      <c r="O17" s="22">
        <f t="shared" si="9"/>
        <v>1.0252918287937742</v>
      </c>
      <c r="P17" s="66"/>
      <c r="Q17" s="22">
        <f t="shared" si="10"/>
        <v>2.0680000000000001</v>
      </c>
      <c r="R17" s="66"/>
      <c r="S17" s="22">
        <f t="shared" si="11"/>
        <v>99.327569644572534</v>
      </c>
      <c r="T17" s="68"/>
      <c r="U17" s="23">
        <f t="shared" si="4"/>
        <v>0.67243035542747365</v>
      </c>
      <c r="V17" s="68"/>
      <c r="W17" s="70"/>
      <c r="X17" s="72"/>
      <c r="Z17" s="112">
        <f t="shared" si="5"/>
        <v>147.71428571428572</v>
      </c>
    </row>
  </sheetData>
  <mergeCells count="63"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F6:F8"/>
    <mergeCell ref="H6:H8"/>
    <mergeCell ref="J6:J8"/>
    <mergeCell ref="L6:L8"/>
    <mergeCell ref="N6:N8"/>
    <mergeCell ref="R6:R8"/>
    <mergeCell ref="T6:T8"/>
    <mergeCell ref="B9:B11"/>
    <mergeCell ref="F9:F11"/>
    <mergeCell ref="H9:H11"/>
    <mergeCell ref="J9:J11"/>
    <mergeCell ref="L9:L11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V12:V14"/>
    <mergeCell ref="W12:W14"/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39C9-D7E0-478C-98A3-718D75177D1B}">
  <dimension ref="A1:AB17"/>
  <sheetViews>
    <sheetView topLeftCell="R1" workbookViewId="0">
      <selection activeCell="Y1" sqref="Y1:AB17"/>
    </sheetView>
  </sheetViews>
  <sheetFormatPr defaultRowHeight="14.4" x14ac:dyDescent="0.3"/>
  <sheetData>
    <row r="1" spans="1:28" x14ac:dyDescent="0.3">
      <c r="A1" s="1" t="s">
        <v>0</v>
      </c>
      <c r="B1" s="2" t="s">
        <v>1</v>
      </c>
      <c r="C1" s="59" t="s">
        <v>20</v>
      </c>
      <c r="D1" s="3" t="s">
        <v>3</v>
      </c>
      <c r="E1" s="101" t="s">
        <v>4</v>
      </c>
      <c r="F1" s="102"/>
      <c r="G1" s="89" t="s">
        <v>5</v>
      </c>
      <c r="H1" s="90"/>
      <c r="I1" s="90" t="s">
        <v>6</v>
      </c>
      <c r="J1" s="90"/>
      <c r="K1" s="90"/>
      <c r="L1" s="103"/>
      <c r="M1" s="90" t="s">
        <v>7</v>
      </c>
      <c r="N1" s="90"/>
      <c r="O1" s="90"/>
      <c r="P1" s="90"/>
      <c r="Q1" s="89" t="s">
        <v>8</v>
      </c>
      <c r="R1" s="90"/>
      <c r="S1" s="90"/>
      <c r="T1" s="90"/>
      <c r="U1" s="89" t="s">
        <v>9</v>
      </c>
      <c r="V1" s="90"/>
      <c r="W1" s="89" t="s">
        <v>10</v>
      </c>
      <c r="X1" s="94"/>
      <c r="Y1" t="s">
        <v>24</v>
      </c>
      <c r="Z1" t="s">
        <v>21</v>
      </c>
      <c r="AA1" t="s">
        <v>22</v>
      </c>
      <c r="AB1" t="s">
        <v>23</v>
      </c>
    </row>
    <row r="2" spans="1:28" x14ac:dyDescent="0.3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8" x14ac:dyDescent="0.3">
      <c r="A3" s="95">
        <v>65</v>
      </c>
      <c r="B3" s="63">
        <v>0</v>
      </c>
      <c r="C3" s="12">
        <f>1.072</f>
        <v>1.0720000000000001</v>
      </c>
      <c r="D3" s="12" t="s">
        <v>19</v>
      </c>
      <c r="E3" s="12">
        <v>0.05</v>
      </c>
      <c r="F3" s="65">
        <f>AVERAGE(E3:E5)</f>
        <v>4.8000000000000008E-2</v>
      </c>
      <c r="G3" s="13">
        <f t="shared" ref="G3:G11" si="0">E3*100/C3</f>
        <v>4.6641791044776113</v>
      </c>
      <c r="H3" s="104">
        <f>AVERAGE(G3:G5)</f>
        <v>4.4071486854446746</v>
      </c>
      <c r="I3" s="19">
        <f>C3-E3</f>
        <v>1.022</v>
      </c>
      <c r="J3" s="65">
        <f>AVERAGE(I3:I5)</f>
        <v>1.0416666666666667</v>
      </c>
      <c r="K3" s="30">
        <f>I3*100/C3</f>
        <v>95.335820895522389</v>
      </c>
      <c r="L3" s="67">
        <f>AVERAGE(K3:K5)</f>
        <v>95.592851314555332</v>
      </c>
      <c r="M3" s="39">
        <v>0</v>
      </c>
      <c r="N3" s="99">
        <v>0</v>
      </c>
      <c r="O3" s="41">
        <v>0</v>
      </c>
      <c r="P3" s="99">
        <v>0</v>
      </c>
      <c r="Q3" s="41"/>
      <c r="R3" s="40"/>
      <c r="S3" s="41"/>
      <c r="T3" s="41"/>
      <c r="U3" s="42"/>
      <c r="V3" s="41"/>
      <c r="W3" s="42"/>
      <c r="X3" s="43"/>
      <c r="Z3" s="110">
        <f>(C3-E3)/E3</f>
        <v>20.439999999999998</v>
      </c>
    </row>
    <row r="4" spans="1:28" x14ac:dyDescent="0.3">
      <c r="A4" s="96"/>
      <c r="B4" s="63"/>
      <c r="C4" s="12">
        <f>1.103</f>
        <v>1.103</v>
      </c>
      <c r="D4" s="12" t="s">
        <v>19</v>
      </c>
      <c r="E4" s="12">
        <v>4.7E-2</v>
      </c>
      <c r="F4" s="65"/>
      <c r="G4" s="13">
        <f t="shared" si="0"/>
        <v>4.2611060743427016</v>
      </c>
      <c r="H4" s="104"/>
      <c r="I4" s="19">
        <f t="shared" ref="I4:I15" si="1">C4-E4</f>
        <v>1.056</v>
      </c>
      <c r="J4" s="65"/>
      <c r="K4" s="30">
        <f t="shared" ref="K4:K15" si="2">I4*100/C4</f>
        <v>95.738893925657308</v>
      </c>
      <c r="L4" s="67"/>
      <c r="M4" s="39">
        <v>0</v>
      </c>
      <c r="N4" s="99"/>
      <c r="O4" s="41">
        <v>0</v>
      </c>
      <c r="P4" s="99"/>
      <c r="Q4" s="41"/>
      <c r="R4" s="40"/>
      <c r="S4" s="41"/>
      <c r="T4" s="41"/>
      <c r="U4" s="42"/>
      <c r="V4" s="41"/>
      <c r="W4" s="42"/>
      <c r="X4" s="43"/>
      <c r="Y4">
        <v>0</v>
      </c>
      <c r="Z4" s="111">
        <f t="shared" ref="Z4:Z5" si="3">(C4-E4)/E4</f>
        <v>22.468085106382979</v>
      </c>
      <c r="AA4">
        <f>AVERAGE(Z3:Z5)</f>
        <v>21.72822695035461</v>
      </c>
      <c r="AB4">
        <f>_xlfn.STDEV.S(Z3:Z5)</f>
        <v>1.1197381616370101</v>
      </c>
    </row>
    <row r="5" spans="1:28" x14ac:dyDescent="0.3">
      <c r="A5" s="96"/>
      <c r="B5" s="98"/>
      <c r="C5" s="14">
        <f>1.094</f>
        <v>1.0940000000000001</v>
      </c>
      <c r="D5" s="14" t="s">
        <v>19</v>
      </c>
      <c r="E5" s="14">
        <v>4.7E-2</v>
      </c>
      <c r="F5" s="65"/>
      <c r="G5" s="15">
        <f t="shared" si="0"/>
        <v>4.296160877513711</v>
      </c>
      <c r="H5" s="109"/>
      <c r="I5" s="32">
        <f t="shared" si="1"/>
        <v>1.0470000000000002</v>
      </c>
      <c r="J5" s="93"/>
      <c r="K5" s="53">
        <f t="shared" si="2"/>
        <v>95.703839122486301</v>
      </c>
      <c r="L5" s="79"/>
      <c r="M5" s="44">
        <v>0</v>
      </c>
      <c r="N5" s="100"/>
      <c r="O5" s="46">
        <v>0</v>
      </c>
      <c r="P5" s="100"/>
      <c r="Q5" s="46"/>
      <c r="R5" s="45"/>
      <c r="S5" s="46"/>
      <c r="T5" s="46"/>
      <c r="U5" s="47"/>
      <c r="V5" s="46"/>
      <c r="W5" s="47"/>
      <c r="X5" s="43"/>
      <c r="Z5" s="111">
        <f t="shared" si="3"/>
        <v>22.276595744680854</v>
      </c>
    </row>
    <row r="6" spans="1:28" x14ac:dyDescent="0.3">
      <c r="A6" s="96"/>
      <c r="B6" s="88">
        <v>15</v>
      </c>
      <c r="C6" s="16">
        <f>1.08</f>
        <v>1.08</v>
      </c>
      <c r="D6" s="12">
        <v>1.2024999999999999</v>
      </c>
      <c r="E6" s="16">
        <v>4.2999999999999997E-2</v>
      </c>
      <c r="F6" s="91">
        <f>AVERAGE(E6:E8)</f>
        <v>3.9333333333333331E-2</v>
      </c>
      <c r="G6" s="17">
        <f t="shared" si="0"/>
        <v>3.981481481481481</v>
      </c>
      <c r="H6" s="108">
        <f>AVERAGE(G6:G8)</f>
        <v>3.6457742987676336</v>
      </c>
      <c r="I6" s="18">
        <f t="shared" si="1"/>
        <v>1.0370000000000001</v>
      </c>
      <c r="J6" s="87">
        <f>AVERAGE(I6:I8)</f>
        <v>1.0373333333333334</v>
      </c>
      <c r="K6" s="36">
        <f t="shared" si="2"/>
        <v>96.018518518518533</v>
      </c>
      <c r="L6" s="78">
        <f>AVERAGE(K6:K8)</f>
        <v>96.354225701232352</v>
      </c>
      <c r="M6" s="48">
        <f>D6-C6</f>
        <v>0.12249999999999983</v>
      </c>
      <c r="N6" s="87">
        <f>AVERAGE(M6:M8)</f>
        <v>-1.2233333333333393E-2</v>
      </c>
      <c r="O6" s="37">
        <f>M6/C6</f>
        <v>0.11342592592592576</v>
      </c>
      <c r="P6" s="87">
        <f>AVERAGE(O6:O8)</f>
        <v>-9.8703038168447554E-3</v>
      </c>
      <c r="Q6" s="37">
        <f>D6-E6</f>
        <v>1.1595</v>
      </c>
      <c r="R6" s="87">
        <f>AVERAGE(Q6:Q8)</f>
        <v>1.0250999999999999</v>
      </c>
      <c r="S6" s="37">
        <f>Q6*100/D6</f>
        <v>96.424116424116434</v>
      </c>
      <c r="T6" s="78">
        <f>AVERAGE(S6,S8)</f>
        <v>96.01033877402088</v>
      </c>
      <c r="U6" s="18">
        <f t="shared" ref="U6:U15" si="4">E6*100/D6</f>
        <v>3.5758835758835761</v>
      </c>
      <c r="V6" s="78">
        <f>AVERAGE(U6,U8)</f>
        <v>3.9896612259791127</v>
      </c>
      <c r="W6" s="80">
        <f>F6-$F$3</f>
        <v>-8.6666666666666767E-3</v>
      </c>
      <c r="X6" s="82">
        <f>-W6*100/$F$3</f>
        <v>18.055555555555575</v>
      </c>
      <c r="Z6" s="110">
        <f t="shared" ref="Z6:Z17" si="5">(D6-E6)/E6</f>
        <v>26.965116279069768</v>
      </c>
    </row>
    <row r="7" spans="1:28" x14ac:dyDescent="0.3">
      <c r="A7" s="96"/>
      <c r="B7" s="63"/>
      <c r="C7" s="12">
        <f>1.037</f>
        <v>1.0369999999999999</v>
      </c>
      <c r="D7" s="12">
        <v>1.0369999999999999</v>
      </c>
      <c r="E7" s="12">
        <v>3.3000000000000002E-2</v>
      </c>
      <c r="F7" s="67"/>
      <c r="G7" s="33">
        <f t="shared" si="0"/>
        <v>3.182256509161042</v>
      </c>
      <c r="H7" s="104"/>
      <c r="I7" s="35">
        <f t="shared" si="1"/>
        <v>1.004</v>
      </c>
      <c r="J7" s="67"/>
      <c r="K7" s="54">
        <f t="shared" si="2"/>
        <v>96.817743490838964</v>
      </c>
      <c r="L7" s="67"/>
      <c r="M7" s="49">
        <f>D7-C7</f>
        <v>0</v>
      </c>
      <c r="N7" s="67"/>
      <c r="O7" s="35">
        <f>M7/C7</f>
        <v>0</v>
      </c>
      <c r="P7" s="67"/>
      <c r="Q7" s="35">
        <f>D7-E7</f>
        <v>1.004</v>
      </c>
      <c r="R7" s="67"/>
      <c r="S7" s="35">
        <f>Q7*100/D7</f>
        <v>96.817743490838964</v>
      </c>
      <c r="T7" s="67"/>
      <c r="U7" s="35">
        <f t="shared" si="4"/>
        <v>3.182256509161042</v>
      </c>
      <c r="V7" s="67"/>
      <c r="W7" s="69"/>
      <c r="X7" s="71"/>
      <c r="Y7">
        <v>15</v>
      </c>
      <c r="Z7" s="111">
        <f t="shared" si="5"/>
        <v>30.424242424242422</v>
      </c>
      <c r="AA7">
        <f t="shared" ref="AA7:AA17" si="6">AVERAGE(Z6:Z8)</f>
        <v>26.366294170945334</v>
      </c>
      <c r="AB7">
        <f t="shared" ref="AB7:AB17" si="7">_xlfn.STDEV.S(Z6:Z8)</f>
        <v>4.3881113330582968</v>
      </c>
    </row>
    <row r="8" spans="1:28" x14ac:dyDescent="0.3">
      <c r="A8" s="96"/>
      <c r="B8" s="98"/>
      <c r="C8" s="14">
        <f>1.113</f>
        <v>1.113</v>
      </c>
      <c r="D8" s="14">
        <v>0.95379999999999998</v>
      </c>
      <c r="E8" s="14">
        <v>4.2000000000000003E-2</v>
      </c>
      <c r="F8" s="92"/>
      <c r="G8" s="15">
        <f t="shared" si="0"/>
        <v>3.7735849056603774</v>
      </c>
      <c r="H8" s="109"/>
      <c r="I8" s="32">
        <f t="shared" si="1"/>
        <v>1.071</v>
      </c>
      <c r="J8" s="93"/>
      <c r="K8" s="53">
        <f t="shared" si="2"/>
        <v>96.226415094339615</v>
      </c>
      <c r="L8" s="79"/>
      <c r="M8" s="50">
        <f t="shared" ref="M8:M15" si="8">D8-C8</f>
        <v>-0.15920000000000001</v>
      </c>
      <c r="N8" s="93"/>
      <c r="O8" s="38">
        <f t="shared" ref="O8:O15" si="9">M8/C8</f>
        <v>-0.14303683737646003</v>
      </c>
      <c r="P8" s="93"/>
      <c r="Q8" s="38">
        <f t="shared" ref="Q8:Q15" si="10">D8-E8</f>
        <v>0.91179999999999994</v>
      </c>
      <c r="R8" s="93"/>
      <c r="S8" s="38">
        <f t="shared" ref="S8:S15" si="11">Q8*100/D8</f>
        <v>95.596561123925341</v>
      </c>
      <c r="T8" s="79"/>
      <c r="U8" s="32">
        <f t="shared" si="4"/>
        <v>4.4034388760746488</v>
      </c>
      <c r="V8" s="79"/>
      <c r="W8" s="81"/>
      <c r="X8" s="83"/>
      <c r="Z8" s="111">
        <f t="shared" si="5"/>
        <v>21.709523809523805</v>
      </c>
    </row>
    <row r="9" spans="1:28" x14ac:dyDescent="0.3">
      <c r="A9" s="96"/>
      <c r="B9" s="88">
        <v>30</v>
      </c>
      <c r="C9" s="12">
        <f>1.03</f>
        <v>1.03</v>
      </c>
      <c r="D9" s="24">
        <v>0.88129999999999997</v>
      </c>
      <c r="E9" s="12">
        <v>3.1E-2</v>
      </c>
      <c r="F9" s="65">
        <f>AVERAGE(E9:E11)</f>
        <v>3.3666666666666671E-2</v>
      </c>
      <c r="G9" s="13">
        <f t="shared" si="0"/>
        <v>3.0097087378640777</v>
      </c>
      <c r="H9" s="108">
        <f t="shared" ref="H9" si="12">AVERAGE(G9:G11)</f>
        <v>3.2055487024139051</v>
      </c>
      <c r="I9" s="19">
        <f t="shared" si="1"/>
        <v>0.999</v>
      </c>
      <c r="J9" s="87">
        <f t="shared" ref="J9" si="13">AVERAGE(I9:I11)</f>
        <v>1.014</v>
      </c>
      <c r="K9" s="30">
        <f t="shared" si="2"/>
        <v>96.990291262135926</v>
      </c>
      <c r="L9" s="78">
        <f>AVERAGE(K9:K11)</f>
        <v>96.794451297586093</v>
      </c>
      <c r="M9" s="48">
        <f t="shared" si="8"/>
        <v>-0.14870000000000005</v>
      </c>
      <c r="N9" s="87">
        <f t="shared" ref="N9" si="14">AVERAGE(M9:M11)</f>
        <v>-0.12133333333333336</v>
      </c>
      <c r="O9" s="21">
        <f t="shared" si="9"/>
        <v>-0.144368932038835</v>
      </c>
      <c r="P9" s="65">
        <f t="shared" ref="P9" si="15">AVERAGE(O9:O11)</f>
        <v>-0.11661017172430381</v>
      </c>
      <c r="Q9" s="21">
        <f t="shared" si="10"/>
        <v>0.85029999999999994</v>
      </c>
      <c r="R9" s="65">
        <f t="shared" ref="R9" si="16">AVERAGE(Q9:Q11)</f>
        <v>0.89266666666666661</v>
      </c>
      <c r="S9" s="21">
        <f t="shared" si="11"/>
        <v>96.482469079768535</v>
      </c>
      <c r="T9" s="67">
        <f t="shared" ref="T9" si="17">AVERAGE(S9,S11)</f>
        <v>96.220136245494047</v>
      </c>
      <c r="U9" s="19">
        <f t="shared" si="4"/>
        <v>3.5175309202314766</v>
      </c>
      <c r="V9" s="67">
        <f t="shared" ref="V9" si="18">AVERAGE(U9,U11)</f>
        <v>3.7798637545059584</v>
      </c>
      <c r="W9" s="69">
        <f t="shared" ref="W9" si="19">F9-$F$3</f>
        <v>-1.4333333333333337E-2</v>
      </c>
      <c r="X9" s="84">
        <f t="shared" ref="X9" si="20">-W9*100/$F$3</f>
        <v>29.861111111111111</v>
      </c>
      <c r="Z9" s="110">
        <f t="shared" si="5"/>
        <v>27.429032258064513</v>
      </c>
    </row>
    <row r="10" spans="1:28" x14ac:dyDescent="0.3">
      <c r="A10" s="96"/>
      <c r="B10" s="63"/>
      <c r="C10" s="12">
        <f>1.037</f>
        <v>1.0369999999999999</v>
      </c>
      <c r="D10" s="12">
        <v>0.88339999999999996</v>
      </c>
      <c r="E10" s="12">
        <v>2.9000000000000001E-2</v>
      </c>
      <c r="F10" s="65"/>
      <c r="G10" s="13">
        <f t="shared" si="0"/>
        <v>2.796528447444552</v>
      </c>
      <c r="H10" s="104"/>
      <c r="I10" s="19">
        <f t="shared" si="1"/>
        <v>1.008</v>
      </c>
      <c r="J10" s="65"/>
      <c r="K10" s="30">
        <f t="shared" si="2"/>
        <v>97.203471552555456</v>
      </c>
      <c r="L10" s="67"/>
      <c r="M10" s="49">
        <f>D10-C10</f>
        <v>-0.15359999999999996</v>
      </c>
      <c r="N10" s="65"/>
      <c r="O10" s="21">
        <f t="shared" si="9"/>
        <v>-0.14811957569913209</v>
      </c>
      <c r="P10" s="65"/>
      <c r="Q10" s="21">
        <f t="shared" si="10"/>
        <v>0.85439999999999994</v>
      </c>
      <c r="R10" s="65"/>
      <c r="S10" s="21">
        <f t="shared" si="11"/>
        <v>96.71722888838579</v>
      </c>
      <c r="T10" s="67"/>
      <c r="U10" s="19">
        <f t="shared" si="4"/>
        <v>3.2827711116142182</v>
      </c>
      <c r="V10" s="67"/>
      <c r="W10" s="69"/>
      <c r="X10" s="61"/>
      <c r="Y10">
        <v>30</v>
      </c>
      <c r="Z10" s="111">
        <f t="shared" si="5"/>
        <v>29.462068965517236</v>
      </c>
      <c r="AA10">
        <f t="shared" si="6"/>
        <v>26.876708537941884</v>
      </c>
      <c r="AB10">
        <f t="shared" si="7"/>
        <v>2.9012249001928412</v>
      </c>
    </row>
    <row r="11" spans="1:28" x14ac:dyDescent="0.3">
      <c r="A11" s="96"/>
      <c r="B11" s="63"/>
      <c r="C11" s="12">
        <f>1.076</f>
        <v>1.0760000000000001</v>
      </c>
      <c r="D11" s="27">
        <v>1.0143</v>
      </c>
      <c r="E11" s="12">
        <v>4.1000000000000002E-2</v>
      </c>
      <c r="F11" s="65"/>
      <c r="G11" s="13">
        <f t="shared" si="0"/>
        <v>3.8104089219330857</v>
      </c>
      <c r="H11" s="104"/>
      <c r="I11" s="19">
        <f t="shared" si="1"/>
        <v>1.0350000000000001</v>
      </c>
      <c r="J11" s="65"/>
      <c r="K11" s="30">
        <f t="shared" si="2"/>
        <v>96.189591078066925</v>
      </c>
      <c r="L11" s="67"/>
      <c r="M11" s="49">
        <f t="shared" si="8"/>
        <v>-6.1700000000000088E-2</v>
      </c>
      <c r="N11" s="65"/>
      <c r="O11" s="21">
        <f t="shared" si="9"/>
        <v>-5.7342007434944317E-2</v>
      </c>
      <c r="P11" s="65"/>
      <c r="Q11" s="21">
        <f t="shared" si="10"/>
        <v>0.97329999999999994</v>
      </c>
      <c r="R11" s="65"/>
      <c r="S11" s="21">
        <f t="shared" si="11"/>
        <v>95.957803411219558</v>
      </c>
      <c r="T11" s="67"/>
      <c r="U11" s="19">
        <f t="shared" si="4"/>
        <v>4.0421965887804401</v>
      </c>
      <c r="V11" s="67"/>
      <c r="W11" s="69"/>
      <c r="X11" s="61"/>
      <c r="Z11" s="111">
        <f t="shared" si="5"/>
        <v>23.739024390243902</v>
      </c>
    </row>
    <row r="12" spans="1:28" x14ac:dyDescent="0.3">
      <c r="A12" s="96"/>
      <c r="B12" s="85">
        <v>60</v>
      </c>
      <c r="C12" s="24">
        <f>1.026</f>
        <v>1.026</v>
      </c>
      <c r="D12" s="12">
        <v>0.77649999999999997</v>
      </c>
      <c r="E12" s="24">
        <v>2.7E-2</v>
      </c>
      <c r="F12" s="73">
        <f>AVERAGE(E12:E14)</f>
        <v>2.499999999999997E-2</v>
      </c>
      <c r="G12" s="26">
        <f t="shared" ref="G12" si="21">E12*100/C12</f>
        <v>2.6315789473684212</v>
      </c>
      <c r="H12" s="106">
        <f>AVERAGE(G12:G14)</f>
        <v>2.4069326687134258</v>
      </c>
      <c r="I12" s="25">
        <f t="shared" si="1"/>
        <v>0.999</v>
      </c>
      <c r="J12" s="73">
        <f>AVERAGE(I12:I14)</f>
        <v>1.014</v>
      </c>
      <c r="K12" s="29">
        <f t="shared" si="2"/>
        <v>97.368421052631575</v>
      </c>
      <c r="L12" s="78">
        <f>AVERAGE(K12:K14)</f>
        <v>97.593067331286576</v>
      </c>
      <c r="M12" s="48">
        <f t="shared" si="8"/>
        <v>-0.24950000000000006</v>
      </c>
      <c r="N12" s="73">
        <f>AVERAGE(M12:M14)</f>
        <v>-0.27493333333333336</v>
      </c>
      <c r="O12" s="25">
        <f t="shared" si="9"/>
        <v>-0.24317738791423008</v>
      </c>
      <c r="P12" s="73">
        <f>AVERAGE(O12:O14)</f>
        <v>-0.26450551126087796</v>
      </c>
      <c r="Q12" s="25">
        <f t="shared" si="10"/>
        <v>0.74949999999999994</v>
      </c>
      <c r="R12" s="73">
        <f>AVERAGE(Q12:Q14)</f>
        <v>0.73906666666666665</v>
      </c>
      <c r="S12" s="25">
        <f t="shared" si="11"/>
        <v>96.522858982614281</v>
      </c>
      <c r="T12" s="73">
        <f>AVERAGE(S12,S14)</f>
        <v>96.571801209529127</v>
      </c>
      <c r="U12" s="25">
        <f t="shared" si="4"/>
        <v>3.4771410173857054</v>
      </c>
      <c r="V12" s="73">
        <f>AVERAGE(U12,U14)</f>
        <v>3.428198790470856</v>
      </c>
      <c r="W12" s="76">
        <f t="shared" ref="W12" si="22">F12-$F$3</f>
        <v>-2.3000000000000038E-2</v>
      </c>
      <c r="X12" s="60">
        <f t="shared" ref="X12" si="23">-W12*100/$F$3</f>
        <v>47.916666666666735</v>
      </c>
      <c r="Z12" s="110">
        <f t="shared" si="5"/>
        <v>27.759259259259256</v>
      </c>
    </row>
    <row r="13" spans="1:28" x14ac:dyDescent="0.3">
      <c r="A13" s="96"/>
      <c r="B13" s="63"/>
      <c r="C13" s="12">
        <f>1.04</f>
        <v>1.04</v>
      </c>
      <c r="D13" s="12">
        <v>0.74629999999999996</v>
      </c>
      <c r="E13" s="12">
        <v>2.1999999999999999E-2</v>
      </c>
      <c r="F13" s="67"/>
      <c r="G13" s="33">
        <f>E13*100/C13</f>
        <v>2.115384615384615</v>
      </c>
      <c r="H13" s="104"/>
      <c r="I13" s="35">
        <f t="shared" si="1"/>
        <v>1.018</v>
      </c>
      <c r="J13" s="67"/>
      <c r="K13" s="54">
        <f t="shared" si="2"/>
        <v>97.884615384615373</v>
      </c>
      <c r="L13" s="67"/>
      <c r="M13" s="49">
        <f>D13-C13</f>
        <v>-0.29370000000000007</v>
      </c>
      <c r="N13" s="67"/>
      <c r="O13" s="35">
        <f t="shared" si="9"/>
        <v>-0.28240384615384623</v>
      </c>
      <c r="P13" s="67"/>
      <c r="Q13" s="35">
        <f t="shared" si="10"/>
        <v>0.72429999999999994</v>
      </c>
      <c r="R13" s="67"/>
      <c r="S13" s="35">
        <f t="shared" si="11"/>
        <v>97.052123810799941</v>
      </c>
      <c r="T13" s="67"/>
      <c r="U13" s="35">
        <f t="shared" si="4"/>
        <v>2.9478761892000533</v>
      </c>
      <c r="V13" s="74"/>
      <c r="W13" s="67"/>
      <c r="X13" s="61"/>
      <c r="Y13">
        <v>60</v>
      </c>
      <c r="Z13" s="111">
        <f t="shared" si="5"/>
        <v>32.922727272727272</v>
      </c>
      <c r="AA13">
        <f t="shared" si="6"/>
        <v>29.758098074764774</v>
      </c>
      <c r="AB13">
        <f t="shared" si="7"/>
        <v>2.7721202884071845</v>
      </c>
    </row>
    <row r="14" spans="1:28" x14ac:dyDescent="0.3">
      <c r="A14" s="96"/>
      <c r="B14" s="86"/>
      <c r="C14" s="27">
        <f>1.051</f>
        <v>1.0509999999999999</v>
      </c>
      <c r="D14" s="12">
        <v>0.76939999999999997</v>
      </c>
      <c r="E14" s="27">
        <f>0.688-0.662</f>
        <v>2.5999999999999912E-2</v>
      </c>
      <c r="F14" s="77"/>
      <c r="G14" s="34">
        <f>E14*100/C14</f>
        <v>2.4738344433872421</v>
      </c>
      <c r="H14" s="107"/>
      <c r="I14" s="28">
        <f t="shared" si="1"/>
        <v>1.0249999999999999</v>
      </c>
      <c r="J14" s="75"/>
      <c r="K14" s="31">
        <f t="shared" si="2"/>
        <v>97.526165556612739</v>
      </c>
      <c r="L14" s="79"/>
      <c r="M14" s="49">
        <f t="shared" si="8"/>
        <v>-0.28159999999999996</v>
      </c>
      <c r="N14" s="75"/>
      <c r="O14" s="28">
        <f t="shared" si="9"/>
        <v>-0.26793529971455754</v>
      </c>
      <c r="P14" s="75"/>
      <c r="Q14" s="28">
        <f t="shared" si="10"/>
        <v>0.74340000000000006</v>
      </c>
      <c r="R14" s="75"/>
      <c r="S14" s="28">
        <f t="shared" si="11"/>
        <v>96.620743436443988</v>
      </c>
      <c r="T14" s="75"/>
      <c r="U14" s="28">
        <f t="shared" si="4"/>
        <v>3.3792565635560066</v>
      </c>
      <c r="V14" s="75"/>
      <c r="W14" s="77"/>
      <c r="X14" s="62"/>
      <c r="Z14" s="111">
        <f t="shared" si="5"/>
        <v>28.592307692307791</v>
      </c>
    </row>
    <row r="15" spans="1:28" x14ac:dyDescent="0.3">
      <c r="A15" s="96"/>
      <c r="B15" s="63">
        <v>180</v>
      </c>
      <c r="C15" s="12">
        <f>1.031</f>
        <v>1.0309999999999999</v>
      </c>
      <c r="D15" s="16">
        <v>0.36599999999999999</v>
      </c>
      <c r="E15" s="12">
        <v>7.0000000000000007E-2</v>
      </c>
      <c r="F15" s="65">
        <f>AVERAGE(E15:E17)</f>
        <v>7.0000000000000007E-2</v>
      </c>
      <c r="G15" s="13">
        <f>E15*100/C15</f>
        <v>6.7895247332686726</v>
      </c>
      <c r="H15" s="104">
        <f>AVERAGE(G15:G17)</f>
        <v>6.7895247332686726</v>
      </c>
      <c r="I15" s="19">
        <f t="shared" si="1"/>
        <v>0.96099999999999985</v>
      </c>
      <c r="J15" s="65">
        <f>AVERAGE(I15:I17)</f>
        <v>0.96099999999999985</v>
      </c>
      <c r="K15" s="30">
        <f t="shared" si="2"/>
        <v>93.210475266731322</v>
      </c>
      <c r="L15" s="67">
        <f>AVERAGE(K15:K17)</f>
        <v>93.210475266731322</v>
      </c>
      <c r="M15" s="51">
        <f t="shared" si="8"/>
        <v>-0.66499999999999992</v>
      </c>
      <c r="N15" s="65">
        <f>AVERAGE(M15:M17)</f>
        <v>-0.66499999999999992</v>
      </c>
      <c r="O15" s="21">
        <f t="shared" si="9"/>
        <v>-0.64500484966052374</v>
      </c>
      <c r="P15" s="65">
        <f>AVERAGE(O15:O17)</f>
        <v>-0.64500484966052374</v>
      </c>
      <c r="Q15" s="21">
        <f t="shared" si="10"/>
        <v>0.29599999999999999</v>
      </c>
      <c r="R15" s="65">
        <f>AVERAGE(Q15:Q17)</f>
        <v>0.29599999999999999</v>
      </c>
      <c r="S15" s="21">
        <f t="shared" si="11"/>
        <v>80.874316939890704</v>
      </c>
      <c r="T15" s="67">
        <f>AVERAGE(S15,S17)</f>
        <v>80.874316939890704</v>
      </c>
      <c r="U15" s="19">
        <f t="shared" si="4"/>
        <v>19.125683060109292</v>
      </c>
      <c r="V15" s="67">
        <f>AVERAGE(U15,U17)</f>
        <v>19.125683060109292</v>
      </c>
      <c r="W15" s="69">
        <f t="shared" ref="W15" si="24">F15-$F$3</f>
        <v>2.1999999999999999E-2</v>
      </c>
      <c r="X15" s="71">
        <f t="shared" ref="X15" si="25">-W15*100/$F$3</f>
        <v>-45.833333333333321</v>
      </c>
      <c r="Z15" s="110">
        <f t="shared" si="5"/>
        <v>4.2285714285714278</v>
      </c>
    </row>
    <row r="16" spans="1:28" x14ac:dyDescent="0.3">
      <c r="A16" s="96"/>
      <c r="B16" s="63"/>
      <c r="C16" s="12"/>
      <c r="D16" s="12"/>
      <c r="E16" s="12"/>
      <c r="F16" s="65"/>
      <c r="G16" s="13"/>
      <c r="H16" s="104"/>
      <c r="I16" s="19"/>
      <c r="J16" s="65"/>
      <c r="K16" s="30"/>
      <c r="L16" s="67"/>
      <c r="M16" s="49"/>
      <c r="N16" s="65"/>
      <c r="O16" s="21"/>
      <c r="P16" s="67"/>
      <c r="Q16" s="35"/>
      <c r="R16" s="65"/>
      <c r="S16" s="21"/>
      <c r="T16" s="67"/>
      <c r="U16" s="19"/>
      <c r="V16" s="67"/>
      <c r="W16" s="69"/>
      <c r="X16" s="71"/>
      <c r="Y16">
        <v>180</v>
      </c>
      <c r="Z16" s="111" t="e">
        <f t="shared" si="5"/>
        <v>#DIV/0!</v>
      </c>
      <c r="AA16" t="e">
        <f>AVERAGE(Z15:Z17)</f>
        <v>#DIV/0!</v>
      </c>
      <c r="AB16" t="e">
        <f>_xlfn.STDEV.S(Z15:Z17)</f>
        <v>#DIV/0!</v>
      </c>
    </row>
    <row r="17" spans="1:26" x14ac:dyDescent="0.3">
      <c r="A17" s="97"/>
      <c r="B17" s="64"/>
      <c r="C17" s="8"/>
      <c r="D17" s="8"/>
      <c r="E17" s="8"/>
      <c r="F17" s="66"/>
      <c r="G17" s="20"/>
      <c r="H17" s="105"/>
      <c r="I17" s="23"/>
      <c r="J17" s="66"/>
      <c r="K17" s="55"/>
      <c r="L17" s="68"/>
      <c r="M17" s="52"/>
      <c r="N17" s="66"/>
      <c r="O17" s="22"/>
      <c r="P17" s="66"/>
      <c r="Q17" s="22"/>
      <c r="R17" s="66"/>
      <c r="S17" s="22"/>
      <c r="T17" s="68"/>
      <c r="U17" s="23"/>
      <c r="V17" s="68"/>
      <c r="W17" s="70"/>
      <c r="X17" s="72"/>
      <c r="Z17" s="112" t="e">
        <f t="shared" si="5"/>
        <v>#DIV/0!</v>
      </c>
    </row>
  </sheetData>
  <mergeCells count="63"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  <mergeCell ref="T9:T11"/>
    <mergeCell ref="V9:V11"/>
    <mergeCell ref="W9:W11"/>
    <mergeCell ref="V12:V14"/>
    <mergeCell ref="W12:W14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B9:B11"/>
    <mergeCell ref="F9:F11"/>
    <mergeCell ref="H9:H11"/>
    <mergeCell ref="J9:J11"/>
    <mergeCell ref="L9:L11"/>
    <mergeCell ref="Q1:T1"/>
    <mergeCell ref="F6:F8"/>
    <mergeCell ref="H6:H8"/>
    <mergeCell ref="J6:J8"/>
    <mergeCell ref="L6:L8"/>
    <mergeCell ref="N6:N8"/>
    <mergeCell ref="R6:R8"/>
    <mergeCell ref="T6:T8"/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7C87-DCDE-4757-951C-11DE0A5DB29C}">
  <dimension ref="A1:AB7"/>
  <sheetViews>
    <sheetView tabSelected="1" topLeftCell="E11" zoomScale="115" zoomScaleNormal="115" workbookViewId="0">
      <selection activeCell="AB21" sqref="AB21"/>
    </sheetView>
  </sheetViews>
  <sheetFormatPr defaultRowHeight="14.4" x14ac:dyDescent="0.3"/>
  <cols>
    <col min="1" max="1" width="9.33203125" bestFit="1" customWidth="1"/>
    <col min="2" max="2" width="9.33203125" customWidth="1"/>
    <col min="3" max="4" width="12" bestFit="1" customWidth="1"/>
  </cols>
  <sheetData>
    <row r="1" spans="1:28" s="113" customFormat="1" x14ac:dyDescent="0.3">
      <c r="A1" s="113" t="s">
        <v>25</v>
      </c>
      <c r="E1" s="113" t="s">
        <v>29</v>
      </c>
      <c r="I1" s="113" t="s">
        <v>30</v>
      </c>
      <c r="M1" s="113" t="s">
        <v>32</v>
      </c>
      <c r="Q1" s="113" t="s">
        <v>31</v>
      </c>
      <c r="U1" s="113" t="s">
        <v>33</v>
      </c>
    </row>
    <row r="2" spans="1:28" x14ac:dyDescent="0.3">
      <c r="A2" t="s">
        <v>26</v>
      </c>
      <c r="C2" t="s">
        <v>27</v>
      </c>
      <c r="D2" t="s">
        <v>28</v>
      </c>
      <c r="E2" t="s">
        <v>26</v>
      </c>
      <c r="G2" t="s">
        <v>27</v>
      </c>
      <c r="H2" t="s">
        <v>28</v>
      </c>
      <c r="I2" t="s">
        <v>26</v>
      </c>
      <c r="K2" t="s">
        <v>27</v>
      </c>
      <c r="L2" t="s">
        <v>28</v>
      </c>
      <c r="M2" t="s">
        <v>26</v>
      </c>
      <c r="O2" t="s">
        <v>27</v>
      </c>
      <c r="P2" t="s">
        <v>28</v>
      </c>
      <c r="Q2" t="s">
        <v>26</v>
      </c>
      <c r="S2" t="s">
        <v>27</v>
      </c>
      <c r="T2" t="s">
        <v>28</v>
      </c>
      <c r="U2" t="s">
        <v>26</v>
      </c>
      <c r="W2" t="s">
        <v>27</v>
      </c>
      <c r="X2" t="s">
        <v>28</v>
      </c>
      <c r="Y2" t="s">
        <v>26</v>
      </c>
      <c r="AA2" t="s">
        <v>27</v>
      </c>
      <c r="AB2" t="s">
        <v>28</v>
      </c>
    </row>
    <row r="3" spans="1:28" x14ac:dyDescent="0.3">
      <c r="A3">
        <v>0</v>
      </c>
      <c r="B3">
        <v>33.333333332999999</v>
      </c>
      <c r="C3">
        <v>29.376788553259136</v>
      </c>
      <c r="D3">
        <v>1.4973477360045071</v>
      </c>
      <c r="E3">
        <v>0</v>
      </c>
      <c r="F3">
        <v>33.333333332999999</v>
      </c>
      <c r="G3">
        <v>26.968713450292398</v>
      </c>
      <c r="H3">
        <v>1.2061056879654968</v>
      </c>
      <c r="I3">
        <v>0</v>
      </c>
      <c r="J3">
        <v>33.333333332999999</v>
      </c>
      <c r="K3">
        <v>24.281390192337444</v>
      </c>
      <c r="L3">
        <v>0.83494918728576495</v>
      </c>
      <c r="M3">
        <v>0</v>
      </c>
      <c r="N3">
        <v>33.333333332999999</v>
      </c>
      <c r="O3">
        <v>25.680842193037318</v>
      </c>
      <c r="P3">
        <v>0.76798516511357728</v>
      </c>
      <c r="Q3">
        <v>0</v>
      </c>
      <c r="R3">
        <v>33.333333332999999</v>
      </c>
      <c r="S3">
        <v>21.66014799154334</v>
      </c>
      <c r="T3">
        <v>0.4190312041828036</v>
      </c>
      <c r="U3">
        <v>0</v>
      </c>
      <c r="V3">
        <v>33.333333332999999</v>
      </c>
      <c r="W3">
        <v>23.714866434378624</v>
      </c>
      <c r="X3">
        <v>0.56055975381169909</v>
      </c>
      <c r="Y3">
        <v>0</v>
      </c>
      <c r="Z3">
        <v>33.333333332999999</v>
      </c>
      <c r="AA3">
        <v>21.72822695035461</v>
      </c>
      <c r="AB3">
        <v>1.1197381616370101</v>
      </c>
    </row>
    <row r="4" spans="1:28" x14ac:dyDescent="0.3">
      <c r="A4">
        <v>15</v>
      </c>
      <c r="B4">
        <f>C4+(B3-C3)</f>
        <v>41.539470814279795</v>
      </c>
      <c r="C4">
        <v>37.582926034538936</v>
      </c>
      <c r="D4">
        <v>2.263855825435221</v>
      </c>
      <c r="E4">
        <v>15</v>
      </c>
      <c r="F4">
        <f>G4+(F3-G3)</f>
        <v>36.893471423323845</v>
      </c>
      <c r="G4">
        <v>30.528851540616245</v>
      </c>
      <c r="H4">
        <v>1.2866960422999434</v>
      </c>
      <c r="I4">
        <v>15</v>
      </c>
      <c r="J4">
        <f>K4+(J3-K3)</f>
        <v>36.50198394033616</v>
      </c>
      <c r="K4">
        <v>27.450040799673602</v>
      </c>
      <c r="L4">
        <v>1.9192360347956734</v>
      </c>
      <c r="M4">
        <v>15</v>
      </c>
      <c r="N4">
        <f>O4+(N3-O3)</f>
        <v>53.169742506676414</v>
      </c>
      <c r="O4">
        <v>45.517251366713737</v>
      </c>
      <c r="P4">
        <v>4.3502519180009811</v>
      </c>
      <c r="Q4">
        <v>15</v>
      </c>
      <c r="R4">
        <f>S4+(R3-S3)</f>
        <v>40.529423158220794</v>
      </c>
      <c r="S4">
        <v>28.856237816764132</v>
      </c>
      <c r="T4">
        <v>0.9491787596752197</v>
      </c>
      <c r="U4">
        <v>15</v>
      </c>
      <c r="V4">
        <f>W4+(V3-W3)</f>
        <v>37.278451717142779</v>
      </c>
      <c r="W4">
        <v>27.659984818521405</v>
      </c>
      <c r="X4">
        <v>2.5003993018628856</v>
      </c>
      <c r="Y4">
        <v>15</v>
      </c>
      <c r="Z4">
        <f>AA4+(Z3-AA3)</f>
        <v>37.971400553590726</v>
      </c>
      <c r="AA4">
        <v>26.366294170945334</v>
      </c>
      <c r="AB4">
        <v>4.3881113330582968</v>
      </c>
    </row>
    <row r="5" spans="1:28" x14ac:dyDescent="0.3">
      <c r="A5">
        <v>30</v>
      </c>
      <c r="B5">
        <f t="shared" ref="B5:B7" si="0">C5+(B4-C4)</f>
        <v>46.232971882840161</v>
      </c>
      <c r="C5">
        <v>42.276427103099302</v>
      </c>
      <c r="D5">
        <v>2.7346077453056625</v>
      </c>
      <c r="E5">
        <v>30</v>
      </c>
      <c r="F5">
        <f t="shared" ref="F5:F7" si="1">G5+(F4-G4)</f>
        <v>40.915314327152046</v>
      </c>
      <c r="G5">
        <v>34.550694444444446</v>
      </c>
      <c r="H5">
        <v>2.1382921019883856</v>
      </c>
      <c r="I5">
        <v>30</v>
      </c>
      <c r="J5">
        <f t="shared" ref="J5:J7" si="2">K5+(J4-K4)</f>
        <v>38.140569268426518</v>
      </c>
      <c r="K5">
        <v>29.088626127763963</v>
      </c>
      <c r="L5">
        <v>3.1836382283626228</v>
      </c>
      <c r="M5">
        <v>30</v>
      </c>
      <c r="N5">
        <f t="shared" ref="N5:N7" si="3">O5+(N4-O4)</f>
        <v>61.230250337287089</v>
      </c>
      <c r="O5">
        <v>53.577759197324411</v>
      </c>
      <c r="P5">
        <v>4.527018001584139</v>
      </c>
      <c r="Q5">
        <v>30</v>
      </c>
      <c r="R5">
        <f t="shared" ref="R5:R7" si="4">S5+(R4-S4)</f>
        <v>41.799908218179539</v>
      </c>
      <c r="S5">
        <v>30.12672287672288</v>
      </c>
      <c r="T5">
        <v>1.5298840984937598</v>
      </c>
      <c r="U5">
        <v>30</v>
      </c>
      <c r="V5">
        <f t="shared" ref="V5:V7" si="5">W5+(V4-W4)</f>
        <v>39.033784953724378</v>
      </c>
      <c r="W5">
        <v>29.415318055103</v>
      </c>
      <c r="X5">
        <v>6.9552154025348099</v>
      </c>
      <c r="Y5">
        <v>30</v>
      </c>
      <c r="Z5">
        <f t="shared" ref="Z5:Z7" si="6">AA5+(Z4-AA4)</f>
        <v>38.481814920587276</v>
      </c>
      <c r="AA5">
        <v>26.876708537941884</v>
      </c>
      <c r="AB5">
        <v>2.9012249001928412</v>
      </c>
    </row>
    <row r="6" spans="1:28" x14ac:dyDescent="0.3">
      <c r="A6">
        <v>60</v>
      </c>
      <c r="B6">
        <f t="shared" si="0"/>
        <v>59.859664648377965</v>
      </c>
      <c r="C6">
        <v>55.903119868637106</v>
      </c>
      <c r="D6">
        <v>3.3626225056627521</v>
      </c>
      <c r="E6">
        <v>60</v>
      </c>
      <c r="F6">
        <f t="shared" si="1"/>
        <v>41.540064808152515</v>
      </c>
      <c r="G6">
        <v>35.175444925444914</v>
      </c>
      <c r="H6">
        <v>3.0910101467957163</v>
      </c>
      <c r="I6">
        <v>60</v>
      </c>
      <c r="J6">
        <f t="shared" si="2"/>
        <v>38.587918750418659</v>
      </c>
      <c r="K6">
        <v>29.535975609756104</v>
      </c>
      <c r="L6">
        <v>0.38932962641082081</v>
      </c>
      <c r="M6">
        <v>60</v>
      </c>
      <c r="N6">
        <f t="shared" si="3"/>
        <v>82.772491139962668</v>
      </c>
      <c r="O6">
        <v>75.11999999999999</v>
      </c>
      <c r="P6">
        <v>14.72831287011514</v>
      </c>
      <c r="Q6">
        <v>60</v>
      </c>
      <c r="R6">
        <f t="shared" si="4"/>
        <v>40.852891363267943</v>
      </c>
      <c r="S6">
        <v>29.179706021811285</v>
      </c>
      <c r="T6">
        <v>1.5119452265628865</v>
      </c>
      <c r="U6">
        <v>60</v>
      </c>
      <c r="V6">
        <f t="shared" si="5"/>
        <v>40.741867572022045</v>
      </c>
      <c r="W6">
        <v>31.123400673400671</v>
      </c>
      <c r="X6">
        <v>8.270168267852064</v>
      </c>
      <c r="Y6">
        <v>60</v>
      </c>
      <c r="Z6">
        <f t="shared" si="6"/>
        <v>41.363204457410163</v>
      </c>
      <c r="AA6">
        <v>29.758098074764774</v>
      </c>
      <c r="AB6">
        <v>2.7721202884071845</v>
      </c>
    </row>
    <row r="7" spans="1:28" x14ac:dyDescent="0.3">
      <c r="A7">
        <v>180</v>
      </c>
      <c r="B7">
        <f t="shared" si="0"/>
        <v>92.071128113074195</v>
      </c>
      <c r="C7">
        <v>88.114583333333329</v>
      </c>
      <c r="D7">
        <v>1.8414239093399609</v>
      </c>
      <c r="E7">
        <v>180</v>
      </c>
      <c r="F7">
        <f t="shared" si="1"/>
        <v>52.382333248247058</v>
      </c>
      <c r="G7">
        <v>46.017713365539457</v>
      </c>
      <c r="H7">
        <v>4.8185405045826997</v>
      </c>
      <c r="I7">
        <v>180</v>
      </c>
      <c r="J7">
        <f t="shared" si="2"/>
        <v>43.201515790235206</v>
      </c>
      <c r="K7">
        <v>34.149572649572654</v>
      </c>
      <c r="L7">
        <v>2.3398167650423511</v>
      </c>
      <c r="M7">
        <v>180</v>
      </c>
      <c r="N7">
        <f t="shared" si="3"/>
        <v>121.02391971139126</v>
      </c>
      <c r="O7">
        <v>113.37142857142858</v>
      </c>
      <c r="P7">
        <v>31.710784877561995</v>
      </c>
      <c r="Q7">
        <v>180</v>
      </c>
      <c r="R7">
        <f t="shared" si="4"/>
        <v>54.690579395852616</v>
      </c>
      <c r="S7">
        <v>43.017394054395957</v>
      </c>
      <c r="T7">
        <v>3.1099333832093259</v>
      </c>
      <c r="U7">
        <v>180</v>
      </c>
      <c r="V7">
        <f t="shared" si="5"/>
        <v>33.721096594804536</v>
      </c>
      <c r="W7">
        <v>24.102629696183158</v>
      </c>
      <c r="X7">
        <v>0.45391575650145372</v>
      </c>
      <c r="Y7">
        <v>180</v>
      </c>
      <c r="Z7">
        <f t="shared" si="6"/>
        <v>15.833677811216816</v>
      </c>
      <c r="AA7">
        <v>4.2285714285714278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pH7 &amp; I.S. 0</vt:lpstr>
      <vt:lpstr>pH7 &amp; I.S. S</vt:lpstr>
      <vt:lpstr>pH7 &amp; I.S. I</vt:lpstr>
      <vt:lpstr>pH3 &amp; I.S. S</vt:lpstr>
      <vt:lpstr>pH3 &amp; I.S. I</vt:lpstr>
      <vt:lpstr>pH3 &amp; I.S. 0</vt:lpstr>
      <vt:lpstr>pH3 &amp; I.S. S &amp; with pepsin</vt:lpstr>
      <vt:lpstr>TOT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Giovanni Tizzanini</cp:lastModifiedBy>
  <cp:revision/>
  <dcterms:created xsi:type="dcterms:W3CDTF">2024-08-12T07:03:38Z</dcterms:created>
  <dcterms:modified xsi:type="dcterms:W3CDTF">2024-09-12T15:22:59Z</dcterms:modified>
  <cp:category/>
  <cp:contentStatus/>
</cp:coreProperties>
</file>