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5E0B11D3-8940-4884-8CB0-4F3EEA5B908E}" xr6:coauthVersionLast="45" xr6:coauthVersionMax="45" xr10:uidLastSave="{00000000-0000-0000-0000-000000000000}"/>
  <bookViews>
    <workbookView xWindow="-108" yWindow="-108" windowWidth="23256" windowHeight="12576" xr2:uid="{AB219472-A173-4942-882C-E6C36FFFB216}"/>
  </bookViews>
  <sheets>
    <sheet name="Q1" sheetId="2" r:id="rId1"/>
  </sheets>
  <definedNames>
    <definedName name="solver_adj" localSheetId="0" hidden="1">'Q1'!$C$74:$C$77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'Q1'!$N$22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2" i="2" l="1"/>
  <c r="H54" i="2" a="1"/>
  <c r="H54" i="2" s="1"/>
  <c r="H61" i="2" s="1" a="1"/>
  <c r="B30" i="2"/>
  <c r="B29" i="2"/>
  <c r="H14" i="2" s="1"/>
  <c r="B28" i="2"/>
  <c r="B27" i="2"/>
  <c r="M21" i="2"/>
  <c r="K21" i="2"/>
  <c r="F21" i="2"/>
  <c r="E21" i="2"/>
  <c r="I21" i="2" s="1"/>
  <c r="C21" i="2"/>
  <c r="H21" i="2" s="1"/>
  <c r="F20" i="2"/>
  <c r="E20" i="2"/>
  <c r="M20" i="2" s="1"/>
  <c r="C20" i="2"/>
  <c r="K19" i="2"/>
  <c r="I19" i="2"/>
  <c r="F19" i="2"/>
  <c r="M19" i="2" s="1"/>
  <c r="E19" i="2"/>
  <c r="C19" i="2"/>
  <c r="H19" i="2" s="1"/>
  <c r="M18" i="2"/>
  <c r="F18" i="2"/>
  <c r="E18" i="2"/>
  <c r="K18" i="2" s="1"/>
  <c r="C18" i="2"/>
  <c r="H18" i="2" s="1"/>
  <c r="F17" i="2"/>
  <c r="H17" i="2" s="1"/>
  <c r="E17" i="2"/>
  <c r="C17" i="2"/>
  <c r="F16" i="2"/>
  <c r="K16" i="2" s="1"/>
  <c r="E16" i="2"/>
  <c r="I16" i="2" s="1"/>
  <c r="C16" i="2"/>
  <c r="H16" i="2" s="1"/>
  <c r="M15" i="2"/>
  <c r="F15" i="2"/>
  <c r="E15" i="2"/>
  <c r="K15" i="2" s="1"/>
  <c r="C15" i="2"/>
  <c r="H15" i="2" s="1"/>
  <c r="M14" i="2"/>
  <c r="K14" i="2"/>
  <c r="I14" i="2"/>
  <c r="F14" i="2"/>
  <c r="E14" i="2"/>
  <c r="C14" i="2"/>
  <c r="P14" i="2" s="1"/>
  <c r="M13" i="2"/>
  <c r="K13" i="2"/>
  <c r="F13" i="2"/>
  <c r="E13" i="2"/>
  <c r="I13" i="2" s="1"/>
  <c r="C13" i="2"/>
  <c r="H13" i="2" s="1"/>
  <c r="F12" i="2"/>
  <c r="E12" i="2"/>
  <c r="M12" i="2" s="1"/>
  <c r="C12" i="2"/>
  <c r="K11" i="2"/>
  <c r="I11" i="2"/>
  <c r="F11" i="2"/>
  <c r="E11" i="2"/>
  <c r="P11" i="2" s="1"/>
  <c r="C11" i="2"/>
  <c r="H11" i="2" s="1"/>
  <c r="M10" i="2"/>
  <c r="F10" i="2"/>
  <c r="E10" i="2"/>
  <c r="K10" i="2" s="1"/>
  <c r="C10" i="2"/>
  <c r="P10" i="2" s="1"/>
  <c r="P9" i="2"/>
  <c r="F9" i="2"/>
  <c r="M9" i="2" s="1"/>
  <c r="E9" i="2"/>
  <c r="C9" i="2"/>
  <c r="M8" i="2"/>
  <c r="K8" i="2"/>
  <c r="F8" i="2"/>
  <c r="E8" i="2"/>
  <c r="I8" i="2" s="1"/>
  <c r="C8" i="2"/>
  <c r="H8" i="2" s="1"/>
  <c r="M7" i="2"/>
  <c r="F7" i="2"/>
  <c r="E7" i="2"/>
  <c r="K7" i="2" s="1"/>
  <c r="C7" i="2"/>
  <c r="H7" i="2" s="1"/>
  <c r="M6" i="2"/>
  <c r="K6" i="2"/>
  <c r="I6" i="2"/>
  <c r="F6" i="2"/>
  <c r="E6" i="2"/>
  <c r="C6" i="2"/>
  <c r="P6" i="2" s="1"/>
  <c r="M5" i="2"/>
  <c r="K5" i="2"/>
  <c r="F5" i="2"/>
  <c r="E5" i="2"/>
  <c r="I5" i="2" s="1"/>
  <c r="C5" i="2"/>
  <c r="H5" i="2" s="1"/>
  <c r="F4" i="2"/>
  <c r="E4" i="2"/>
  <c r="M4" i="2" s="1"/>
  <c r="C4" i="2"/>
  <c r="K3" i="2"/>
  <c r="I3" i="2"/>
  <c r="F3" i="2"/>
  <c r="E3" i="2"/>
  <c r="M3" i="2" s="1"/>
  <c r="C3" i="2"/>
  <c r="H3" i="2" s="1"/>
  <c r="M2" i="2"/>
  <c r="F2" i="2"/>
  <c r="E2" i="2"/>
  <c r="K2" i="2" s="1"/>
  <c r="C2" i="2"/>
  <c r="P2" i="2" s="1"/>
  <c r="J16" i="2" l="1"/>
  <c r="N16" i="2"/>
  <c r="L16" i="2"/>
  <c r="N14" i="2"/>
  <c r="J14" i="2"/>
  <c r="L14" i="2"/>
  <c r="J21" i="2"/>
  <c r="L21" i="2"/>
  <c r="N21" i="2"/>
  <c r="L3" i="2"/>
  <c r="J3" i="2"/>
  <c r="N3" i="2"/>
  <c r="J5" i="2"/>
  <c r="L5" i="2"/>
  <c r="N5" i="2"/>
  <c r="J17" i="2"/>
  <c r="L18" i="2"/>
  <c r="N18" i="2"/>
  <c r="L7" i="2"/>
  <c r="J7" i="2"/>
  <c r="N7" i="2"/>
  <c r="J13" i="2"/>
  <c r="N13" i="2"/>
  <c r="L13" i="2"/>
  <c r="J19" i="2"/>
  <c r="N19" i="2"/>
  <c r="L19" i="2"/>
  <c r="N11" i="2"/>
  <c r="L11" i="2"/>
  <c r="J11" i="2"/>
  <c r="I63" i="2"/>
  <c r="I61" i="2"/>
  <c r="H63" i="2"/>
  <c r="K64" i="2"/>
  <c r="K62" i="2"/>
  <c r="H61" i="2"/>
  <c r="J64" i="2"/>
  <c r="J62" i="2"/>
  <c r="I64" i="2"/>
  <c r="I62" i="2"/>
  <c r="H64" i="2"/>
  <c r="H62" i="2"/>
  <c r="K63" i="2"/>
  <c r="K61" i="2"/>
  <c r="J63" i="2"/>
  <c r="J61" i="2"/>
  <c r="L8" i="2"/>
  <c r="J8" i="2"/>
  <c r="N8" i="2"/>
  <c r="L15" i="2"/>
  <c r="N15" i="2"/>
  <c r="P17" i="2"/>
  <c r="P20" i="2"/>
  <c r="I9" i="2"/>
  <c r="H12" i="2"/>
  <c r="I4" i="2"/>
  <c r="M16" i="2"/>
  <c r="P18" i="2"/>
  <c r="I20" i="2"/>
  <c r="H2" i="2"/>
  <c r="P5" i="2"/>
  <c r="I7" i="2"/>
  <c r="K9" i="2"/>
  <c r="H10" i="2"/>
  <c r="M11" i="2"/>
  <c r="P13" i="2"/>
  <c r="I15" i="2"/>
  <c r="J15" i="2" s="1"/>
  <c r="K17" i="2"/>
  <c r="L17" i="2" s="1"/>
  <c r="P21" i="2"/>
  <c r="H6" i="2"/>
  <c r="P16" i="2"/>
  <c r="I18" i="2"/>
  <c r="J18" i="2" s="1"/>
  <c r="K20" i="2"/>
  <c r="H9" i="2"/>
  <c r="H4" i="2"/>
  <c r="I17" i="2"/>
  <c r="I2" i="2"/>
  <c r="P8" i="2"/>
  <c r="I10" i="2"/>
  <c r="K12" i="2"/>
  <c r="P3" i="2"/>
  <c r="M17" i="2"/>
  <c r="N17" i="2" s="1"/>
  <c r="P19" i="2"/>
  <c r="P4" i="2"/>
  <c r="P12" i="2"/>
  <c r="P7" i="2"/>
  <c r="P15" i="2"/>
  <c r="H20" i="2"/>
  <c r="I12" i="2"/>
  <c r="K4" i="2"/>
  <c r="J2" i="2" l="1"/>
  <c r="N2" i="2"/>
  <c r="L2" i="2"/>
  <c r="H70" i="2" a="1"/>
  <c r="H70" i="2" s="1"/>
  <c r="N9" i="2"/>
  <c r="L9" i="2"/>
  <c r="J9" i="2"/>
  <c r="L20" i="2"/>
  <c r="N20" i="2"/>
  <c r="J20" i="2"/>
  <c r="J10" i="2"/>
  <c r="L10" i="2"/>
  <c r="N10" i="2"/>
  <c r="L12" i="2"/>
  <c r="J12" i="2"/>
  <c r="N12" i="2"/>
  <c r="L4" i="2"/>
  <c r="N4" i="2"/>
  <c r="J4" i="2"/>
  <c r="N6" i="2"/>
  <c r="J6" i="2"/>
  <c r="L6" i="2"/>
  <c r="C43" i="2" l="1"/>
  <c r="L22" i="2"/>
  <c r="N22" i="2"/>
  <c r="C79" i="2"/>
  <c r="C81" i="2" s="1" a="1"/>
  <c r="C37" i="2"/>
  <c r="J22" i="2"/>
  <c r="C36" i="2"/>
  <c r="C89" i="2" l="1"/>
  <c r="C88" i="2"/>
  <c r="C87" i="2"/>
  <c r="C81" i="2"/>
  <c r="C8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<sst xmlns="http://schemas.openxmlformats.org/spreadsheetml/2006/main" count="71" uniqueCount="57">
  <si>
    <t>Remodeled</t>
  </si>
  <si>
    <t>Neighborhood</t>
  </si>
  <si>
    <t>Age</t>
  </si>
  <si>
    <t>Price</t>
  </si>
  <si>
    <t>Area (SQFT)</t>
  </si>
  <si>
    <t>Y</t>
  </si>
  <si>
    <t>Remodeled Binary</t>
  </si>
  <si>
    <t>Neighborhood 1</t>
  </si>
  <si>
    <t>Neighborhood 2</t>
  </si>
  <si>
    <t>Intercept</t>
  </si>
  <si>
    <t>Area</t>
  </si>
  <si>
    <t>B</t>
  </si>
  <si>
    <t>Nei.1</t>
  </si>
  <si>
    <t>Nei.2</t>
  </si>
  <si>
    <t>Average of Errors</t>
  </si>
  <si>
    <t>Std. Dev of Errors</t>
  </si>
  <si>
    <t>C</t>
  </si>
  <si>
    <t>D</t>
  </si>
  <si>
    <t>y_calc_B</t>
  </si>
  <si>
    <t>y_calc_D</t>
  </si>
  <si>
    <t>E</t>
  </si>
  <si>
    <t>X'X</t>
  </si>
  <si>
    <t>(X'X) inverse</t>
  </si>
  <si>
    <t>Area Beta</t>
  </si>
  <si>
    <t>Nei.1 Beta</t>
  </si>
  <si>
    <t>Nei.2 Beta</t>
  </si>
  <si>
    <t>Age Beta</t>
  </si>
  <si>
    <t>y_calc_E</t>
  </si>
  <si>
    <t>Error_B</t>
  </si>
  <si>
    <t>Error_D</t>
  </si>
  <si>
    <t>Error_E</t>
  </si>
  <si>
    <t>A</t>
  </si>
  <si>
    <t>Prob = 0.1</t>
  </si>
  <si>
    <t>Prob = 0.5</t>
  </si>
  <si>
    <t>Prob = 0.7</t>
  </si>
  <si>
    <t>X transpose</t>
  </si>
  <si>
    <t>X</t>
  </si>
  <si>
    <t>MSE</t>
  </si>
  <si>
    <t>Variance of Errors</t>
  </si>
  <si>
    <t>F</t>
  </si>
  <si>
    <t>Variance-covariance matrix</t>
  </si>
  <si>
    <t>G</t>
  </si>
  <si>
    <t>t stat for Area Beta</t>
  </si>
  <si>
    <t>t stat for Nei.1 Beta</t>
  </si>
  <si>
    <t>t stat for Nei.2 Beta</t>
  </si>
  <si>
    <t>t stat for Age Beta</t>
  </si>
  <si>
    <t>H</t>
  </si>
  <si>
    <t>Prob  0.9</t>
  </si>
  <si>
    <t>SD of errors</t>
  </si>
  <si>
    <t>Mean of errors</t>
  </si>
  <si>
    <t>Simulation of Errors</t>
  </si>
  <si>
    <t>(X'X)inverse * X'</t>
  </si>
  <si>
    <t>(X'X)inverse*X'*Y</t>
  </si>
  <si>
    <t>Price = 2.19 + (Area*156.46)-(Age*-2760)+(Nei.1*36875)-(Nei.2*-13515)</t>
  </si>
  <si>
    <t>Price = (156.47*Area)+(-2760*Age)+(-36876*Nei.1)+(-13513*Nei.2)+Error</t>
  </si>
  <si>
    <t>Since the betas for all independent variables are the same in equation B and D, the only difference is of the intercept term which is not very high. Therefore, there is no difference in the averages of errors in this case</t>
  </si>
  <si>
    <t>At 95% confidence interval, the critical value of t is approximately 2. Therefore, we say the variables, Area, Nei.1 and age are significant for this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</si>
</sst>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" fontId="0" fillId="0" borderId="0" xfId="0" applyNumberFormat="1" applyFont="1"/>
    <xf numFmtId="43" fontId="2" fillId="0" borderId="0" xfId="1" applyFont="1"/>
    <xf numFmtId="43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43" fontId="1" fillId="0" borderId="0" xfId="1" applyFont="1" applyAlignment="1">
      <alignment horizontal="center"/>
    </xf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0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64B5-7711-4566-9B07-7419F0C55504}">
  <dimension ref="A1:AA92"/>
  <sheetViews>
    <sheetView tabSelected="1" topLeftCell="A25" workbookViewId="0">
      <selection activeCell="B92" sqref="B92"/>
    </sheetView>
  </sheetViews>
  <sheetFormatPr defaultRowHeight="14.4" x14ac:dyDescent="0.3"/>
  <cols>
    <col min="1" max="1" width="15.77734375" style="2" customWidth="1"/>
    <col min="2" max="2" width="24.21875" style="2" bestFit="1" customWidth="1"/>
    <col min="3" max="7" width="15.77734375" style="2" customWidth="1"/>
    <col min="8" max="8" width="15.6640625" style="2" bestFit="1" customWidth="1"/>
    <col min="9" max="9" width="19.6640625" style="2" bestFit="1" customWidth="1"/>
    <col min="10" max="10" width="15.77734375" style="2" customWidth="1"/>
    <col min="11" max="11" width="19" style="2" bestFit="1" customWidth="1"/>
    <col min="12" max="12" width="16.6640625" bestFit="1" customWidth="1"/>
    <col min="13" max="13" width="14.21875" bestFit="1" customWidth="1"/>
    <col min="14" max="14" width="15.77734375" bestFit="1" customWidth="1"/>
    <col min="16" max="16" width="11" bestFit="1" customWidth="1"/>
  </cols>
  <sheetData>
    <row r="1" spans="1:16" x14ac:dyDescent="0.3">
      <c r="A1" s="1" t="s">
        <v>4</v>
      </c>
      <c r="B1" s="1" t="s">
        <v>0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18</v>
      </c>
      <c r="J1" s="1" t="s">
        <v>28</v>
      </c>
      <c r="K1" s="1" t="s">
        <v>19</v>
      </c>
      <c r="L1" s="1" t="s">
        <v>29</v>
      </c>
      <c r="M1" s="1" t="s">
        <v>27</v>
      </c>
      <c r="N1" s="1" t="s">
        <v>30</v>
      </c>
    </row>
    <row r="2" spans="1:16" x14ac:dyDescent="0.3">
      <c r="A2" s="2">
        <v>1500</v>
      </c>
      <c r="C2" s="2">
        <f>IF(B2= "Y",1,0)</f>
        <v>0</v>
      </c>
      <c r="D2" s="2">
        <v>2</v>
      </c>
      <c r="E2" s="2">
        <f>IF(D2=1,1,0)</f>
        <v>0</v>
      </c>
      <c r="F2" s="2">
        <f>IF(D2=2,1,0)</f>
        <v>1</v>
      </c>
      <c r="G2" s="2">
        <v>20</v>
      </c>
      <c r="H2" s="9">
        <f>(A2*150)+(C2*50000)-(G2*2000)+IF(E2=1,(15*A2),0)+IF(F2=1,(-5*A2),0)+$B$29</f>
        <v>183548.80102541609</v>
      </c>
      <c r="I2" s="15">
        <f t="shared" ref="I2:I21" si="0">$B$33+(A2*$C$33)+(E2*$E$33)+(F2*$F$33)+(G2*$D$33)</f>
        <v>166001.74520661568</v>
      </c>
      <c r="J2" s="3">
        <f t="shared" ref="J2:J21" si="1">H2-I2</f>
        <v>17547.055818800407</v>
      </c>
      <c r="K2" s="3">
        <f t="shared" ref="K2:K21" si="2">($B$40*A2)+($C$40*G2)+($D$40*E2)+($E$40*F2)</f>
        <v>166001.54229565235</v>
      </c>
      <c r="L2" s="3">
        <f t="shared" ref="L2:L21" si="3">H2-K2</f>
        <v>17547.258729763736</v>
      </c>
      <c r="M2" s="3">
        <f t="shared" ref="M2:M21" si="4">(A2*$C$74)+(E2*$C$75)+(F2*$C$76)+(G2*$C$77)</f>
        <v>171029.91037847399</v>
      </c>
      <c r="N2" s="3">
        <f t="shared" ref="N2:N21" si="5">H2-M2</f>
        <v>12518.890646942105</v>
      </c>
      <c r="P2">
        <f t="shared" ref="P2:P21" si="6">(A2*150)+(C2*50000)+(G2*2000)+IF(E2=1,(15*A2),0)+IF(F2=1,(-5*A2),0)</f>
        <v>257500</v>
      </c>
    </row>
    <row r="3" spans="1:16" x14ac:dyDescent="0.3">
      <c r="A3" s="2">
        <v>2500</v>
      </c>
      <c r="C3" s="2">
        <f t="shared" ref="C3:C21" si="7">IF(B3= "Y",1,0)</f>
        <v>0</v>
      </c>
      <c r="D3" s="2">
        <v>2</v>
      </c>
      <c r="E3" s="2">
        <f t="shared" ref="E3:E21" si="8">IF(D3=1,1,0)</f>
        <v>0</v>
      </c>
      <c r="F3" s="2">
        <f t="shared" ref="F3:F21" si="9">IF(D3=2,1,0)</f>
        <v>1</v>
      </c>
      <c r="G3" s="2">
        <v>0</v>
      </c>
      <c r="H3" s="9">
        <f t="shared" ref="H3:H21" si="10">(A3*150)+(C3*50000)-(G3*2000)+IF(E3=1,(15*A3),0)+IF(F3=1,(-5*A3),0)+$B$29</f>
        <v>368548.80102541606</v>
      </c>
      <c r="I3" s="15">
        <f t="shared" si="0"/>
        <v>377664.84442753479</v>
      </c>
      <c r="J3" s="3">
        <f t="shared" si="1"/>
        <v>-9116.0434021187248</v>
      </c>
      <c r="K3" s="3">
        <f t="shared" si="2"/>
        <v>377665.24621830729</v>
      </c>
      <c r="L3" s="3">
        <f t="shared" si="3"/>
        <v>-9116.4451928912313</v>
      </c>
      <c r="M3" s="3">
        <f t="shared" si="4"/>
        <v>382889.83120760828</v>
      </c>
      <c r="N3" s="3">
        <f t="shared" si="5"/>
        <v>-14341.030182192218</v>
      </c>
      <c r="P3">
        <f t="shared" si="6"/>
        <v>362500</v>
      </c>
    </row>
    <row r="4" spans="1:16" x14ac:dyDescent="0.3">
      <c r="A4" s="2">
        <v>5000</v>
      </c>
      <c r="C4" s="2">
        <f t="shared" si="7"/>
        <v>0</v>
      </c>
      <c r="D4" s="2">
        <v>3</v>
      </c>
      <c r="E4" s="2">
        <f t="shared" si="8"/>
        <v>0</v>
      </c>
      <c r="F4" s="2">
        <f t="shared" si="9"/>
        <v>0</v>
      </c>
      <c r="G4" s="2">
        <v>14</v>
      </c>
      <c r="H4" s="9">
        <f t="shared" si="10"/>
        <v>728048.80102541612</v>
      </c>
      <c r="I4" s="15">
        <f t="shared" si="0"/>
        <v>743723.49656758411</v>
      </c>
      <c r="J4" s="3">
        <f t="shared" si="1"/>
        <v>-15674.695542167989</v>
      </c>
      <c r="K4" s="3">
        <f t="shared" si="2"/>
        <v>743723.23184273078</v>
      </c>
      <c r="L4" s="3">
        <f t="shared" si="3"/>
        <v>-15674.430817314656</v>
      </c>
      <c r="M4" s="3">
        <f t="shared" si="4"/>
        <v>747864.55392636114</v>
      </c>
      <c r="N4" s="3">
        <f t="shared" si="5"/>
        <v>-19815.752900945023</v>
      </c>
      <c r="P4">
        <f t="shared" si="6"/>
        <v>778000</v>
      </c>
    </row>
    <row r="5" spans="1:16" x14ac:dyDescent="0.3">
      <c r="A5" s="2">
        <v>4700</v>
      </c>
      <c r="B5" s="2" t="s">
        <v>5</v>
      </c>
      <c r="C5" s="2">
        <f t="shared" si="7"/>
        <v>1</v>
      </c>
      <c r="D5" s="2">
        <v>3</v>
      </c>
      <c r="E5" s="2">
        <f t="shared" si="8"/>
        <v>0</v>
      </c>
      <c r="F5" s="2">
        <f t="shared" si="9"/>
        <v>0</v>
      </c>
      <c r="G5" s="2">
        <v>12</v>
      </c>
      <c r="H5" s="9">
        <f t="shared" si="10"/>
        <v>737048.80102541612</v>
      </c>
      <c r="I5" s="15">
        <f t="shared" si="0"/>
        <v>702301.35230137233</v>
      </c>
      <c r="J5" s="3">
        <f t="shared" si="1"/>
        <v>34747.448724043788</v>
      </c>
      <c r="K5" s="3">
        <f t="shared" si="2"/>
        <v>702300.98296562152</v>
      </c>
      <c r="L5" s="3">
        <f t="shared" si="3"/>
        <v>34747.818059794605</v>
      </c>
      <c r="M5" s="3">
        <f t="shared" si="4"/>
        <v>706161.66892108112</v>
      </c>
      <c r="N5" s="3">
        <f t="shared" si="5"/>
        <v>30887.132104335004</v>
      </c>
      <c r="P5">
        <f t="shared" si="6"/>
        <v>779000</v>
      </c>
    </row>
    <row r="6" spans="1:16" x14ac:dyDescent="0.3">
      <c r="A6" s="2">
        <v>3500</v>
      </c>
      <c r="C6" s="2">
        <f t="shared" si="7"/>
        <v>0</v>
      </c>
      <c r="D6" s="2">
        <v>3</v>
      </c>
      <c r="E6" s="2">
        <f t="shared" si="8"/>
        <v>0</v>
      </c>
      <c r="F6" s="2">
        <f t="shared" si="9"/>
        <v>0</v>
      </c>
      <c r="G6" s="2">
        <v>5</v>
      </c>
      <c r="H6" s="9">
        <f t="shared" si="10"/>
        <v>521048.80102541606</v>
      </c>
      <c r="I6" s="15">
        <f t="shared" si="0"/>
        <v>533853.17704901681</v>
      </c>
      <c r="J6" s="3">
        <f t="shared" si="1"/>
        <v>-12804.376023600751</v>
      </c>
      <c r="K6" s="3">
        <f t="shared" si="2"/>
        <v>533852.37966972392</v>
      </c>
      <c r="L6" s="3">
        <f t="shared" si="3"/>
        <v>-12803.578644307854</v>
      </c>
      <c r="M6" s="3">
        <f t="shared" si="4"/>
        <v>536618.242494529</v>
      </c>
      <c r="N6" s="3">
        <f t="shared" si="5"/>
        <v>-15569.441469112935</v>
      </c>
      <c r="P6">
        <f t="shared" si="6"/>
        <v>535000</v>
      </c>
    </row>
    <row r="7" spans="1:16" x14ac:dyDescent="0.3">
      <c r="A7" s="2">
        <v>1000</v>
      </c>
      <c r="C7" s="2">
        <f t="shared" si="7"/>
        <v>0</v>
      </c>
      <c r="D7" s="2">
        <v>1</v>
      </c>
      <c r="E7" s="2">
        <f t="shared" si="8"/>
        <v>1</v>
      </c>
      <c r="F7" s="2">
        <f t="shared" si="9"/>
        <v>0</v>
      </c>
      <c r="G7" s="2">
        <v>25</v>
      </c>
      <c r="H7" s="9">
        <f t="shared" si="10"/>
        <v>121048.80102541608</v>
      </c>
      <c r="I7" s="15">
        <f t="shared" si="0"/>
        <v>124358.37522908879</v>
      </c>
      <c r="J7" s="3">
        <f t="shared" si="1"/>
        <v>-3309.574203672717</v>
      </c>
      <c r="K7" s="3">
        <f t="shared" si="2"/>
        <v>124358.0302083189</v>
      </c>
      <c r="L7" s="3">
        <f t="shared" si="3"/>
        <v>-3309.2291829028254</v>
      </c>
      <c r="M7" s="3">
        <f t="shared" si="4"/>
        <v>129306.19931990864</v>
      </c>
      <c r="N7" s="3">
        <f t="shared" si="5"/>
        <v>-8257.3982944925665</v>
      </c>
      <c r="P7">
        <f t="shared" si="6"/>
        <v>215000</v>
      </c>
    </row>
    <row r="8" spans="1:16" x14ac:dyDescent="0.3">
      <c r="A8" s="2">
        <v>1500</v>
      </c>
      <c r="C8" s="2">
        <f t="shared" si="7"/>
        <v>0</v>
      </c>
      <c r="D8" s="2">
        <v>2</v>
      </c>
      <c r="E8" s="2">
        <f t="shared" si="8"/>
        <v>0</v>
      </c>
      <c r="F8" s="2">
        <f t="shared" si="9"/>
        <v>1</v>
      </c>
      <c r="G8" s="2">
        <v>4</v>
      </c>
      <c r="H8" s="9">
        <f t="shared" si="10"/>
        <v>215548.80102541609</v>
      </c>
      <c r="I8" s="15">
        <f t="shared" si="0"/>
        <v>210155.31620674345</v>
      </c>
      <c r="J8" s="3">
        <f t="shared" si="1"/>
        <v>5393.4848186726449</v>
      </c>
      <c r="K8" s="3">
        <f t="shared" si="2"/>
        <v>210155.26689502693</v>
      </c>
      <c r="L8" s="3">
        <f t="shared" si="3"/>
        <v>5393.5341303891619</v>
      </c>
      <c r="M8" s="3">
        <f t="shared" si="4"/>
        <v>214740.09286539469</v>
      </c>
      <c r="N8" s="3">
        <f t="shared" si="5"/>
        <v>808.70816002140054</v>
      </c>
      <c r="P8">
        <f t="shared" si="6"/>
        <v>225500</v>
      </c>
    </row>
    <row r="9" spans="1:16" x14ac:dyDescent="0.3">
      <c r="A9" s="2">
        <v>1600</v>
      </c>
      <c r="B9" s="2" t="s">
        <v>5</v>
      </c>
      <c r="C9" s="2">
        <f t="shared" si="7"/>
        <v>1</v>
      </c>
      <c r="D9" s="2">
        <v>3</v>
      </c>
      <c r="E9" s="2">
        <f t="shared" si="8"/>
        <v>0</v>
      </c>
      <c r="F9" s="2">
        <f t="shared" si="9"/>
        <v>0</v>
      </c>
      <c r="G9" s="2">
        <v>3</v>
      </c>
      <c r="H9" s="9">
        <f t="shared" si="10"/>
        <v>290048.80102541606</v>
      </c>
      <c r="I9" s="15">
        <f t="shared" si="0"/>
        <v>242077.21602958994</v>
      </c>
      <c r="J9" s="3">
        <f t="shared" si="1"/>
        <v>47971.584995826124</v>
      </c>
      <c r="K9" s="3">
        <f t="shared" si="2"/>
        <v>242075.65371511597</v>
      </c>
      <c r="L9" s="3">
        <f t="shared" si="3"/>
        <v>47973.14731030009</v>
      </c>
      <c r="M9" s="3">
        <f t="shared" si="4"/>
        <v>243359.84913647571</v>
      </c>
      <c r="N9" s="3">
        <f t="shared" si="5"/>
        <v>46688.951888940355</v>
      </c>
      <c r="P9">
        <f t="shared" si="6"/>
        <v>296000</v>
      </c>
    </row>
    <row r="10" spans="1:16" x14ac:dyDescent="0.3">
      <c r="A10" s="2">
        <v>2000</v>
      </c>
      <c r="C10" s="2">
        <f t="shared" si="7"/>
        <v>0</v>
      </c>
      <c r="D10" s="2">
        <v>1</v>
      </c>
      <c r="E10" s="2">
        <f t="shared" si="8"/>
        <v>1</v>
      </c>
      <c r="F10" s="2">
        <f t="shared" si="9"/>
        <v>0</v>
      </c>
      <c r="G10" s="2">
        <v>1</v>
      </c>
      <c r="H10" s="9">
        <f t="shared" si="10"/>
        <v>334048.80102541606</v>
      </c>
      <c r="I10" s="15">
        <f t="shared" si="0"/>
        <v>347059.86720003985</v>
      </c>
      <c r="J10" s="3">
        <f t="shared" si="1"/>
        <v>-13011.066174623789</v>
      </c>
      <c r="K10" s="3">
        <f t="shared" si="2"/>
        <v>347060.16528081743</v>
      </c>
      <c r="L10" s="3">
        <f t="shared" si="3"/>
        <v>-13011.364255401364</v>
      </c>
      <c r="M10" s="3">
        <f t="shared" si="4"/>
        <v>352093.66577077308</v>
      </c>
      <c r="N10" s="3">
        <f t="shared" si="5"/>
        <v>-18044.864745357016</v>
      </c>
      <c r="P10">
        <f t="shared" si="6"/>
        <v>332000</v>
      </c>
    </row>
    <row r="11" spans="1:16" x14ac:dyDescent="0.3">
      <c r="A11" s="2">
        <v>3000</v>
      </c>
      <c r="C11" s="2">
        <f t="shared" si="7"/>
        <v>0</v>
      </c>
      <c r="D11" s="2">
        <v>1</v>
      </c>
      <c r="E11" s="2">
        <f t="shared" si="8"/>
        <v>1</v>
      </c>
      <c r="F11" s="2">
        <f t="shared" si="9"/>
        <v>0</v>
      </c>
      <c r="G11" s="2">
        <v>0</v>
      </c>
      <c r="H11" s="9">
        <f t="shared" si="10"/>
        <v>501048.80102541606</v>
      </c>
      <c r="I11" s="15">
        <f t="shared" si="0"/>
        <v>506290.60085830727</v>
      </c>
      <c r="J11" s="3">
        <f t="shared" si="1"/>
        <v>-5241.7998328912072</v>
      </c>
      <c r="K11" s="3">
        <f t="shared" si="2"/>
        <v>506291.32124171505</v>
      </c>
      <c r="L11" s="3">
        <f t="shared" si="3"/>
        <v>-5242.5202162989881</v>
      </c>
      <c r="M11" s="3">
        <f t="shared" si="4"/>
        <v>512047.74489668896</v>
      </c>
      <c r="N11" s="3">
        <f t="shared" si="5"/>
        <v>-10998.943871272902</v>
      </c>
      <c r="P11">
        <f t="shared" si="6"/>
        <v>495000</v>
      </c>
    </row>
    <row r="12" spans="1:16" x14ac:dyDescent="0.3">
      <c r="A12" s="2">
        <v>3600</v>
      </c>
      <c r="C12" s="2">
        <f t="shared" si="7"/>
        <v>0</v>
      </c>
      <c r="D12" s="2">
        <v>2</v>
      </c>
      <c r="E12" s="2">
        <f t="shared" si="8"/>
        <v>0</v>
      </c>
      <c r="F12" s="2">
        <f t="shared" si="9"/>
        <v>1</v>
      </c>
      <c r="G12" s="2">
        <v>10</v>
      </c>
      <c r="H12" s="9">
        <f t="shared" si="10"/>
        <v>508048.80102541606</v>
      </c>
      <c r="I12" s="15">
        <f t="shared" si="0"/>
        <v>522187.11157029035</v>
      </c>
      <c r="J12" s="3">
        <f t="shared" si="1"/>
        <v>-14138.310544874286</v>
      </c>
      <c r="K12" s="3">
        <f t="shared" si="2"/>
        <v>522187.87133447849</v>
      </c>
      <c r="L12" s="3">
        <f t="shared" si="3"/>
        <v>-14139.07030906243</v>
      </c>
      <c r="M12" s="3">
        <f t="shared" si="4"/>
        <v>528515.37914581446</v>
      </c>
      <c r="N12" s="3">
        <f t="shared" si="5"/>
        <v>-20466.578120398393</v>
      </c>
      <c r="P12">
        <f t="shared" si="6"/>
        <v>542000</v>
      </c>
    </row>
    <row r="13" spans="1:16" x14ac:dyDescent="0.3">
      <c r="A13" s="2">
        <v>4100</v>
      </c>
      <c r="C13" s="2">
        <f t="shared" si="7"/>
        <v>0</v>
      </c>
      <c r="D13" s="2">
        <v>2</v>
      </c>
      <c r="E13" s="2">
        <f t="shared" si="8"/>
        <v>0</v>
      </c>
      <c r="F13" s="2">
        <f t="shared" si="9"/>
        <v>1</v>
      </c>
      <c r="G13" s="2">
        <v>35</v>
      </c>
      <c r="H13" s="9">
        <f t="shared" si="10"/>
        <v>530548.80102541612</v>
      </c>
      <c r="I13" s="15">
        <f t="shared" si="0"/>
        <v>531432.72461797041</v>
      </c>
      <c r="J13" s="3">
        <f t="shared" si="1"/>
        <v>-883.92359255428892</v>
      </c>
      <c r="K13" s="3">
        <f t="shared" si="2"/>
        <v>531433.45073467412</v>
      </c>
      <c r="L13" s="3">
        <f t="shared" si="3"/>
        <v>-884.64970925799571</v>
      </c>
      <c r="M13" s="3">
        <f t="shared" si="4"/>
        <v>538829.31537024258</v>
      </c>
      <c r="N13" s="3">
        <f t="shared" si="5"/>
        <v>-8280.5143448264571</v>
      </c>
      <c r="P13">
        <f t="shared" si="6"/>
        <v>664500</v>
      </c>
    </row>
    <row r="14" spans="1:16" x14ac:dyDescent="0.3">
      <c r="A14" s="2">
        <v>4300</v>
      </c>
      <c r="B14" s="2" t="s">
        <v>5</v>
      </c>
      <c r="C14" s="2">
        <f t="shared" si="7"/>
        <v>1</v>
      </c>
      <c r="D14" s="2">
        <v>2</v>
      </c>
      <c r="E14" s="2">
        <f t="shared" si="8"/>
        <v>0</v>
      </c>
      <c r="F14" s="2">
        <f t="shared" si="9"/>
        <v>1</v>
      </c>
      <c r="G14" s="2">
        <v>22</v>
      </c>
      <c r="H14" s="9">
        <f t="shared" si="10"/>
        <v>635548.80102541612</v>
      </c>
      <c r="I14" s="15">
        <f t="shared" si="0"/>
        <v>598601.72814972606</v>
      </c>
      <c r="J14" s="3">
        <f t="shared" si="1"/>
        <v>36947.072875690064</v>
      </c>
      <c r="K14" s="3">
        <f t="shared" si="2"/>
        <v>598602.66160635336</v>
      </c>
      <c r="L14" s="3">
        <f t="shared" si="3"/>
        <v>36946.139419062762</v>
      </c>
      <c r="M14" s="3">
        <f t="shared" si="4"/>
        <v>605788.27718496229</v>
      </c>
      <c r="N14" s="3">
        <f t="shared" si="5"/>
        <v>29760.523840453825</v>
      </c>
      <c r="P14">
        <f t="shared" si="6"/>
        <v>717500</v>
      </c>
    </row>
    <row r="15" spans="1:16" x14ac:dyDescent="0.3">
      <c r="A15" s="2">
        <v>6000</v>
      </c>
      <c r="C15" s="2">
        <f t="shared" si="7"/>
        <v>0</v>
      </c>
      <c r="D15" s="2">
        <v>1</v>
      </c>
      <c r="E15" s="2">
        <f t="shared" si="8"/>
        <v>1</v>
      </c>
      <c r="F15" s="2">
        <f t="shared" si="9"/>
        <v>0</v>
      </c>
      <c r="G15" s="2">
        <v>12</v>
      </c>
      <c r="H15" s="9">
        <f t="shared" si="10"/>
        <v>972048.80102541612</v>
      </c>
      <c r="I15" s="15">
        <f t="shared" si="0"/>
        <v>942588.82902048982</v>
      </c>
      <c r="J15" s="3">
        <f t="shared" si="1"/>
        <v>29459.972004926298</v>
      </c>
      <c r="K15" s="3">
        <f t="shared" si="2"/>
        <v>942590.67231249425</v>
      </c>
      <c r="L15" s="3">
        <f t="shared" si="3"/>
        <v>29458.128712921869</v>
      </c>
      <c r="M15" s="3">
        <f t="shared" si="4"/>
        <v>950931.68619294849</v>
      </c>
      <c r="N15" s="3">
        <f t="shared" si="5"/>
        <v>21117.114832467632</v>
      </c>
      <c r="P15">
        <f t="shared" si="6"/>
        <v>1014000</v>
      </c>
    </row>
    <row r="16" spans="1:16" x14ac:dyDescent="0.3">
      <c r="A16" s="2">
        <v>8000</v>
      </c>
      <c r="C16" s="2">
        <f t="shared" si="7"/>
        <v>0</v>
      </c>
      <c r="D16" s="2">
        <v>3</v>
      </c>
      <c r="E16" s="2">
        <f t="shared" si="8"/>
        <v>0</v>
      </c>
      <c r="F16" s="2">
        <f t="shared" si="9"/>
        <v>0</v>
      </c>
      <c r="G16" s="2">
        <v>28</v>
      </c>
      <c r="H16" s="9">
        <f t="shared" si="10"/>
        <v>1150048.801025416</v>
      </c>
      <c r="I16" s="15">
        <f t="shared" si="0"/>
        <v>1174502.5283547507</v>
      </c>
      <c r="J16" s="3">
        <f t="shared" si="1"/>
        <v>-24453.72732933471</v>
      </c>
      <c r="K16" s="3">
        <f t="shared" si="2"/>
        <v>1174503.367338588</v>
      </c>
      <c r="L16" s="3">
        <f t="shared" si="3"/>
        <v>-24454.566313171992</v>
      </c>
      <c r="M16" s="3">
        <f t="shared" si="4"/>
        <v>1181284.7224117555</v>
      </c>
      <c r="N16" s="3">
        <f t="shared" si="5"/>
        <v>-31235.921386339469</v>
      </c>
      <c r="P16">
        <f t="shared" si="6"/>
        <v>1256000</v>
      </c>
    </row>
    <row r="17" spans="1:16" x14ac:dyDescent="0.3">
      <c r="A17" s="2">
        <v>6700</v>
      </c>
      <c r="C17" s="2">
        <f t="shared" si="7"/>
        <v>0</v>
      </c>
      <c r="D17" s="2">
        <v>1</v>
      </c>
      <c r="E17" s="2">
        <f t="shared" si="8"/>
        <v>1</v>
      </c>
      <c r="F17" s="2">
        <f t="shared" si="9"/>
        <v>0</v>
      </c>
      <c r="G17" s="2">
        <v>6</v>
      </c>
      <c r="H17" s="9">
        <f t="shared" si="10"/>
        <v>1099548.801025416</v>
      </c>
      <c r="I17" s="15">
        <f t="shared" si="0"/>
        <v>1068676.2129750692</v>
      </c>
      <c r="J17" s="3">
        <f t="shared" si="1"/>
        <v>30872.588050346822</v>
      </c>
      <c r="K17" s="3">
        <f t="shared" si="2"/>
        <v>1068678.4027586654</v>
      </c>
      <c r="L17" s="3">
        <f t="shared" si="3"/>
        <v>30870.398266750621</v>
      </c>
      <c r="M17" s="3">
        <f t="shared" si="4"/>
        <v>1077378.5395298819</v>
      </c>
      <c r="N17" s="3">
        <f t="shared" si="5"/>
        <v>22170.261495534098</v>
      </c>
      <c r="P17">
        <f t="shared" si="6"/>
        <v>1117500</v>
      </c>
    </row>
    <row r="18" spans="1:16" x14ac:dyDescent="0.3">
      <c r="A18" s="2">
        <v>1400</v>
      </c>
      <c r="C18" s="2">
        <f t="shared" si="7"/>
        <v>0</v>
      </c>
      <c r="D18" s="2">
        <v>1</v>
      </c>
      <c r="E18" s="2">
        <f t="shared" si="8"/>
        <v>1</v>
      </c>
      <c r="F18" s="2">
        <f t="shared" si="9"/>
        <v>0</v>
      </c>
      <c r="G18" s="2">
        <v>4</v>
      </c>
      <c r="H18" s="9">
        <f t="shared" si="10"/>
        <v>229048.80102541609</v>
      </c>
      <c r="I18" s="15">
        <f t="shared" si="0"/>
        <v>244898.39135506024</v>
      </c>
      <c r="J18" s="3">
        <f t="shared" si="1"/>
        <v>-15849.590329644154</v>
      </c>
      <c r="K18" s="3">
        <f t="shared" si="2"/>
        <v>244898.41301437272</v>
      </c>
      <c r="L18" s="3">
        <f t="shared" si="3"/>
        <v>-15849.611988956633</v>
      </c>
      <c r="M18" s="3">
        <f t="shared" si="4"/>
        <v>249564.69092218543</v>
      </c>
      <c r="N18" s="3">
        <f t="shared" si="5"/>
        <v>-20515.889896769339</v>
      </c>
      <c r="P18">
        <f t="shared" si="6"/>
        <v>239000</v>
      </c>
    </row>
    <row r="19" spans="1:16" x14ac:dyDescent="0.3">
      <c r="A19" s="2">
        <v>1800</v>
      </c>
      <c r="B19" s="2" t="s">
        <v>5</v>
      </c>
      <c r="C19" s="2">
        <f t="shared" si="7"/>
        <v>1</v>
      </c>
      <c r="D19" s="2">
        <v>1</v>
      </c>
      <c r="E19" s="2">
        <f t="shared" si="8"/>
        <v>1</v>
      </c>
      <c r="F19" s="2">
        <f t="shared" si="9"/>
        <v>0</v>
      </c>
      <c r="G19" s="2">
        <v>9</v>
      </c>
      <c r="H19" s="9">
        <f t="shared" si="10"/>
        <v>335048.80102541606</v>
      </c>
      <c r="I19" s="15">
        <f t="shared" si="0"/>
        <v>293688.8546058241</v>
      </c>
      <c r="J19" s="3">
        <f t="shared" si="1"/>
        <v>41359.946419591957</v>
      </c>
      <c r="K19" s="3">
        <f t="shared" si="2"/>
        <v>293688.99334644282</v>
      </c>
      <c r="L19" s="3">
        <f t="shared" si="3"/>
        <v>41359.807678973244</v>
      </c>
      <c r="M19" s="3">
        <f t="shared" si="4"/>
        <v>298794.13598321605</v>
      </c>
      <c r="N19" s="3">
        <f t="shared" si="5"/>
        <v>36254.665042200009</v>
      </c>
      <c r="P19">
        <f t="shared" si="6"/>
        <v>365000</v>
      </c>
    </row>
    <row r="20" spans="1:16" x14ac:dyDescent="0.3">
      <c r="A20" s="2">
        <v>2200</v>
      </c>
      <c r="C20" s="2">
        <f t="shared" si="7"/>
        <v>0</v>
      </c>
      <c r="D20" s="2">
        <v>1</v>
      </c>
      <c r="E20" s="2">
        <f t="shared" si="8"/>
        <v>1</v>
      </c>
      <c r="F20" s="2">
        <f t="shared" si="9"/>
        <v>0</v>
      </c>
      <c r="G20" s="2">
        <v>11</v>
      </c>
      <c r="H20" s="9">
        <f t="shared" si="10"/>
        <v>347048.80102541606</v>
      </c>
      <c r="I20" s="15">
        <f t="shared" si="0"/>
        <v>350758.11241911189</v>
      </c>
      <c r="J20" s="3">
        <f t="shared" si="1"/>
        <v>-3709.3113936958252</v>
      </c>
      <c r="K20" s="3">
        <f t="shared" si="2"/>
        <v>350758.39704089571</v>
      </c>
      <c r="L20" s="3">
        <f t="shared" si="3"/>
        <v>-3709.5960154796485</v>
      </c>
      <c r="M20" s="3">
        <f t="shared" si="4"/>
        <v>356219.24026054429</v>
      </c>
      <c r="N20" s="3">
        <f t="shared" si="5"/>
        <v>-9170.4392351282295</v>
      </c>
      <c r="P20">
        <f t="shared" si="6"/>
        <v>385000</v>
      </c>
    </row>
    <row r="21" spans="1:16" x14ac:dyDescent="0.3">
      <c r="A21" s="2">
        <v>2800</v>
      </c>
      <c r="C21" s="2">
        <f t="shared" si="7"/>
        <v>0</v>
      </c>
      <c r="D21" s="2">
        <v>1</v>
      </c>
      <c r="E21" s="2">
        <f t="shared" si="8"/>
        <v>1</v>
      </c>
      <c r="F21" s="2">
        <f t="shared" si="9"/>
        <v>0</v>
      </c>
      <c r="G21" s="2">
        <v>0</v>
      </c>
      <c r="H21" s="9">
        <f t="shared" si="10"/>
        <v>468048.80102541606</v>
      </c>
      <c r="I21" s="15">
        <f t="shared" si="0"/>
        <v>474996.37376415537</v>
      </c>
      <c r="J21" s="3">
        <f t="shared" si="1"/>
        <v>-6947.5727387393126</v>
      </c>
      <c r="K21" s="3">
        <f t="shared" si="2"/>
        <v>474997.01160702773</v>
      </c>
      <c r="L21" s="3">
        <f t="shared" si="3"/>
        <v>-6948.2105816116673</v>
      </c>
      <c r="M21" s="3">
        <f t="shared" si="4"/>
        <v>480603.30635259231</v>
      </c>
      <c r="N21" s="3">
        <f t="shared" si="5"/>
        <v>-12554.505327176244</v>
      </c>
      <c r="P21">
        <f t="shared" si="6"/>
        <v>462000</v>
      </c>
    </row>
    <row r="22" spans="1:16" x14ac:dyDescent="0.3">
      <c r="I22" s="16" t="s">
        <v>37</v>
      </c>
      <c r="J22" s="4">
        <f>SUMSQ(J2:J21)</f>
        <v>10554748172.381844</v>
      </c>
      <c r="K22" s="4"/>
      <c r="L22" s="4">
        <f>SUMSQ(L2:L21)</f>
        <v>10554674225.002386</v>
      </c>
      <c r="M22" s="4"/>
      <c r="N22" s="4">
        <f>SUMSQ(N2:N21)</f>
        <v>9910052414.8369217</v>
      </c>
    </row>
    <row r="23" spans="1:16" x14ac:dyDescent="0.3">
      <c r="A23" s="2" t="s">
        <v>48</v>
      </c>
      <c r="B23" s="2">
        <v>2000</v>
      </c>
    </row>
    <row r="24" spans="1:16" x14ac:dyDescent="0.3">
      <c r="A24" s="2" t="s">
        <v>49</v>
      </c>
      <c r="B24" s="2">
        <v>5000</v>
      </c>
    </row>
    <row r="26" spans="1:16" x14ac:dyDescent="0.3">
      <c r="A26" s="1" t="s">
        <v>31</v>
      </c>
      <c r="B26" s="2" t="s">
        <v>50</v>
      </c>
    </row>
    <row r="27" spans="1:16" x14ac:dyDescent="0.3">
      <c r="B27" s="2">
        <f>_xlfn.NORM.INV(0.1,$B$24,$B$23)</f>
        <v>2436.8968689107987</v>
      </c>
      <c r="C27" s="2" t="s">
        <v>32</v>
      </c>
    </row>
    <row r="28" spans="1:16" x14ac:dyDescent="0.3">
      <c r="B28" s="2">
        <f>_xlfn.NORM.INV(0.5,$B$24,$B$23)</f>
        <v>5000</v>
      </c>
      <c r="C28" s="2" t="s">
        <v>33</v>
      </c>
    </row>
    <row r="29" spans="1:16" x14ac:dyDescent="0.3">
      <c r="B29" s="2">
        <f>_xlfn.NORM.INV(0.7,$B$24,$B$23)</f>
        <v>6048.8010254160818</v>
      </c>
      <c r="C29" s="2" t="s">
        <v>34</v>
      </c>
    </row>
    <row r="30" spans="1:16" x14ac:dyDescent="0.3">
      <c r="B30" s="2">
        <f>_xlfn.NORM.INV(0.9,$B$24,$B$23)</f>
        <v>7563.1031310892013</v>
      </c>
      <c r="C30" s="2" t="s">
        <v>47</v>
      </c>
    </row>
    <row r="32" spans="1:16" x14ac:dyDescent="0.3">
      <c r="A32" s="1" t="s">
        <v>11</v>
      </c>
      <c r="B32" s="10" t="s">
        <v>9</v>
      </c>
      <c r="C32" s="10" t="s">
        <v>10</v>
      </c>
      <c r="D32" s="10" t="s">
        <v>2</v>
      </c>
      <c r="E32" s="10" t="s">
        <v>12</v>
      </c>
      <c r="F32" s="10" t="s">
        <v>13</v>
      </c>
      <c r="G32" s="19"/>
    </row>
    <row r="33" spans="1:22" x14ac:dyDescent="0.3">
      <c r="B33" s="12">
        <v>2.1938388987929334</v>
      </c>
      <c r="C33" s="12">
        <v>156.47113547075944</v>
      </c>
      <c r="D33" s="12">
        <v>-2759.5981875079847</v>
      </c>
      <c r="E33" s="12">
        <v>36875.000607130183</v>
      </c>
      <c r="F33" s="12">
        <v>-13515.188088262576</v>
      </c>
      <c r="G33" s="19"/>
    </row>
    <row r="34" spans="1:22" x14ac:dyDescent="0.3">
      <c r="B34" s="5" t="s">
        <v>53</v>
      </c>
    </row>
    <row r="36" spans="1:22" x14ac:dyDescent="0.3">
      <c r="A36" s="1" t="s">
        <v>16</v>
      </c>
      <c r="B36" s="6" t="s">
        <v>14</v>
      </c>
      <c r="C36" s="7">
        <f>AVERAGE(J2:J21)</f>
        <v>5957.9581299990177</v>
      </c>
    </row>
    <row r="37" spans="1:22" x14ac:dyDescent="0.3">
      <c r="B37" s="6" t="s">
        <v>15</v>
      </c>
      <c r="C37" s="8">
        <f>_xlfn.STDEV.S(J2:J21)</f>
        <v>22762.853940489855</v>
      </c>
    </row>
    <row r="39" spans="1:22" x14ac:dyDescent="0.3">
      <c r="A39" s="1" t="s">
        <v>17</v>
      </c>
      <c r="B39" s="10" t="s">
        <v>10</v>
      </c>
      <c r="C39" s="10" t="s">
        <v>2</v>
      </c>
      <c r="D39" s="10" t="s">
        <v>12</v>
      </c>
      <c r="E39" s="10" t="s">
        <v>13</v>
      </c>
    </row>
    <row r="40" spans="1:22" x14ac:dyDescent="0.3">
      <c r="B40" s="14">
        <v>156.4715481734367</v>
      </c>
      <c r="C40" s="14">
        <v>-2759.6077874609105</v>
      </c>
      <c r="D40" s="14">
        <v>36876.676721404969</v>
      </c>
      <c r="E40" s="14">
        <v>-13513.624215284473</v>
      </c>
    </row>
    <row r="41" spans="1:22" x14ac:dyDescent="0.3">
      <c r="B41" s="5" t="s">
        <v>54</v>
      </c>
    </row>
    <row r="43" spans="1:22" x14ac:dyDescent="0.3">
      <c r="B43" s="6" t="s">
        <v>14</v>
      </c>
      <c r="C43" s="9">
        <f>AVERAGE(L2:L21)</f>
        <v>5957.6479540649398</v>
      </c>
    </row>
    <row r="44" spans="1:22" x14ac:dyDescent="0.3">
      <c r="B44" s="21" t="s">
        <v>55</v>
      </c>
      <c r="C44" s="9"/>
    </row>
    <row r="45" spans="1:22" x14ac:dyDescent="0.3">
      <c r="B45" s="1" t="s">
        <v>35</v>
      </c>
      <c r="C45" s="9"/>
    </row>
    <row r="46" spans="1:22" x14ac:dyDescent="0.3">
      <c r="A46" s="1" t="s">
        <v>20</v>
      </c>
      <c r="B46" s="10" t="s">
        <v>10</v>
      </c>
      <c r="C46" s="10">
        <v>1500</v>
      </c>
      <c r="D46" s="10">
        <v>2500</v>
      </c>
      <c r="E46" s="10">
        <v>5000</v>
      </c>
      <c r="F46" s="10">
        <v>4700</v>
      </c>
      <c r="G46" s="10">
        <v>3500</v>
      </c>
      <c r="H46" s="10">
        <v>1000</v>
      </c>
      <c r="I46" s="10">
        <v>1500</v>
      </c>
      <c r="J46" s="10">
        <v>1600</v>
      </c>
      <c r="K46" s="10">
        <v>2000</v>
      </c>
      <c r="L46" s="11">
        <v>3000</v>
      </c>
      <c r="M46" s="11">
        <v>3600</v>
      </c>
      <c r="N46" s="11">
        <v>4100</v>
      </c>
      <c r="O46" s="11">
        <v>4300</v>
      </c>
      <c r="P46" s="11">
        <v>6000</v>
      </c>
      <c r="Q46" s="11">
        <v>8000</v>
      </c>
      <c r="R46" s="11">
        <v>6700</v>
      </c>
      <c r="S46" s="11">
        <v>1400</v>
      </c>
      <c r="T46" s="11">
        <v>1800</v>
      </c>
      <c r="U46" s="11">
        <v>2200</v>
      </c>
      <c r="V46" s="11">
        <v>2800</v>
      </c>
    </row>
    <row r="47" spans="1:22" x14ac:dyDescent="0.3">
      <c r="B47" s="10" t="s">
        <v>12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1</v>
      </c>
      <c r="I47" s="10">
        <v>0</v>
      </c>
      <c r="J47" s="10">
        <v>0</v>
      </c>
      <c r="K47" s="10">
        <v>1</v>
      </c>
      <c r="L47" s="11">
        <v>1</v>
      </c>
      <c r="M47" s="11">
        <v>0</v>
      </c>
      <c r="N47" s="11">
        <v>0</v>
      </c>
      <c r="O47" s="11">
        <v>0</v>
      </c>
      <c r="P47" s="11">
        <v>1</v>
      </c>
      <c r="Q47" s="11">
        <v>0</v>
      </c>
      <c r="R47" s="11">
        <v>1</v>
      </c>
      <c r="S47" s="11">
        <v>1</v>
      </c>
      <c r="T47" s="11">
        <v>1</v>
      </c>
      <c r="U47" s="11">
        <v>1</v>
      </c>
      <c r="V47" s="11">
        <v>1</v>
      </c>
    </row>
    <row r="48" spans="1:22" x14ac:dyDescent="0.3">
      <c r="B48" s="10" t="s">
        <v>13</v>
      </c>
      <c r="C48" s="10">
        <v>1</v>
      </c>
      <c r="D48" s="10">
        <v>1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  <c r="J48" s="10">
        <v>0</v>
      </c>
      <c r="K48" s="10">
        <v>0</v>
      </c>
      <c r="L48" s="11">
        <v>0</v>
      </c>
      <c r="M48" s="11">
        <v>1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</row>
    <row r="49" spans="2:22" x14ac:dyDescent="0.3">
      <c r="B49" s="10" t="s">
        <v>2</v>
      </c>
      <c r="C49" s="10">
        <v>20</v>
      </c>
      <c r="D49" s="10">
        <v>0</v>
      </c>
      <c r="E49" s="10">
        <v>14</v>
      </c>
      <c r="F49" s="10">
        <v>12</v>
      </c>
      <c r="G49" s="10">
        <v>5</v>
      </c>
      <c r="H49" s="10">
        <v>25</v>
      </c>
      <c r="I49" s="10">
        <v>4</v>
      </c>
      <c r="J49" s="10">
        <v>3</v>
      </c>
      <c r="K49" s="10">
        <v>1</v>
      </c>
      <c r="L49" s="11">
        <v>0</v>
      </c>
      <c r="M49" s="11">
        <v>10</v>
      </c>
      <c r="N49" s="11">
        <v>35</v>
      </c>
      <c r="O49" s="11">
        <v>22</v>
      </c>
      <c r="P49" s="11">
        <v>12</v>
      </c>
      <c r="Q49" s="11">
        <v>28</v>
      </c>
      <c r="R49" s="11">
        <v>6</v>
      </c>
      <c r="S49" s="11">
        <v>4</v>
      </c>
      <c r="T49" s="11">
        <v>9</v>
      </c>
      <c r="U49" s="11">
        <v>11</v>
      </c>
      <c r="V49" s="11">
        <v>0</v>
      </c>
    </row>
    <row r="51" spans="2:22" x14ac:dyDescent="0.3">
      <c r="B51" s="1" t="s">
        <v>36</v>
      </c>
      <c r="C51" s="10">
        <v>1500</v>
      </c>
      <c r="D51" s="10">
        <v>0</v>
      </c>
      <c r="E51" s="10">
        <v>1</v>
      </c>
      <c r="F51" s="10">
        <v>20</v>
      </c>
    </row>
    <row r="52" spans="2:22" x14ac:dyDescent="0.3">
      <c r="C52" s="10">
        <v>2500</v>
      </c>
      <c r="D52" s="10">
        <v>0</v>
      </c>
      <c r="E52" s="10">
        <v>1</v>
      </c>
      <c r="F52" s="10">
        <v>0</v>
      </c>
    </row>
    <row r="53" spans="2:22" x14ac:dyDescent="0.3">
      <c r="C53" s="10">
        <v>5000</v>
      </c>
      <c r="D53" s="10">
        <v>0</v>
      </c>
      <c r="E53" s="10">
        <v>0</v>
      </c>
      <c r="F53" s="10">
        <v>14</v>
      </c>
      <c r="H53" s="1" t="s">
        <v>21</v>
      </c>
    </row>
    <row r="54" spans="2:22" x14ac:dyDescent="0.3">
      <c r="C54" s="10">
        <v>4700</v>
      </c>
      <c r="D54" s="10">
        <v>0</v>
      </c>
      <c r="E54" s="10">
        <v>0</v>
      </c>
      <c r="F54" s="10">
        <v>12</v>
      </c>
      <c r="H54" s="10" cm="1">
        <f t="array" ref="H54:K57">MMULT(C46:V49,C51:F70)</f>
        <v>297680000</v>
      </c>
      <c r="I54" s="10">
        <v>26900</v>
      </c>
      <c r="J54" s="10">
        <v>17500</v>
      </c>
      <c r="K54" s="10">
        <v>868000</v>
      </c>
    </row>
    <row r="55" spans="2:22" x14ac:dyDescent="0.3">
      <c r="C55" s="10">
        <v>3500</v>
      </c>
      <c r="D55" s="10">
        <v>0</v>
      </c>
      <c r="E55" s="10">
        <v>0</v>
      </c>
      <c r="F55" s="10">
        <v>5</v>
      </c>
      <c r="H55" s="10">
        <v>26900</v>
      </c>
      <c r="I55" s="10">
        <v>9</v>
      </c>
      <c r="J55" s="10">
        <v>0</v>
      </c>
      <c r="K55" s="10">
        <v>68</v>
      </c>
    </row>
    <row r="56" spans="2:22" x14ac:dyDescent="0.3">
      <c r="C56" s="10">
        <v>1000</v>
      </c>
      <c r="D56" s="10">
        <v>1</v>
      </c>
      <c r="E56" s="10">
        <v>0</v>
      </c>
      <c r="F56" s="10">
        <v>25</v>
      </c>
      <c r="H56" s="10">
        <v>17500</v>
      </c>
      <c r="I56" s="10">
        <v>0</v>
      </c>
      <c r="J56" s="10">
        <v>6</v>
      </c>
      <c r="K56" s="10">
        <v>91</v>
      </c>
    </row>
    <row r="57" spans="2:22" x14ac:dyDescent="0.3">
      <c r="C57" s="10">
        <v>1500</v>
      </c>
      <c r="D57" s="10">
        <v>0</v>
      </c>
      <c r="E57" s="10">
        <v>1</v>
      </c>
      <c r="F57" s="10">
        <v>4</v>
      </c>
      <c r="H57" s="10">
        <v>868000</v>
      </c>
      <c r="I57" s="10">
        <v>68</v>
      </c>
      <c r="J57" s="10">
        <v>91</v>
      </c>
      <c r="K57" s="10">
        <v>4407</v>
      </c>
    </row>
    <row r="58" spans="2:22" x14ac:dyDescent="0.3">
      <c r="C58" s="10">
        <v>1600</v>
      </c>
      <c r="D58" s="10">
        <v>0</v>
      </c>
      <c r="E58" s="10">
        <v>0</v>
      </c>
      <c r="F58" s="10">
        <v>3</v>
      </c>
    </row>
    <row r="59" spans="2:22" x14ac:dyDescent="0.3">
      <c r="C59" s="10">
        <v>2000</v>
      </c>
      <c r="D59" s="10">
        <v>1</v>
      </c>
      <c r="E59" s="10">
        <v>0</v>
      </c>
      <c r="F59" s="10">
        <v>1</v>
      </c>
    </row>
    <row r="60" spans="2:22" x14ac:dyDescent="0.3">
      <c r="C60" s="10">
        <v>3000</v>
      </c>
      <c r="D60" s="10">
        <v>1</v>
      </c>
      <c r="E60" s="10">
        <v>0</v>
      </c>
      <c r="F60" s="10">
        <v>0</v>
      </c>
      <c r="H60" s="1" t="s">
        <v>22</v>
      </c>
    </row>
    <row r="61" spans="2:22" x14ac:dyDescent="0.3">
      <c r="C61" s="10">
        <v>3600</v>
      </c>
      <c r="D61" s="10">
        <v>0</v>
      </c>
      <c r="E61" s="10">
        <v>1</v>
      </c>
      <c r="F61" s="10">
        <v>10</v>
      </c>
      <c r="H61" s="12">
        <f t="array" ref="H61:K64">MINVERSE(H54:K57)</f>
        <v>9.7295202406800471E-9</v>
      </c>
      <c r="I61" s="12">
        <v>-1.7398989060797227E-5</v>
      </c>
      <c r="J61" s="12">
        <v>-4.9289424755919163E-6</v>
      </c>
      <c r="K61" s="12">
        <v>-1.546076366575267E-6</v>
      </c>
    </row>
    <row r="62" spans="2:22" x14ac:dyDescent="0.3">
      <c r="C62" s="10">
        <v>4100</v>
      </c>
      <c r="D62" s="10">
        <v>0</v>
      </c>
      <c r="E62" s="10">
        <v>1</v>
      </c>
      <c r="F62" s="10">
        <v>35</v>
      </c>
      <c r="H62" s="12">
        <v>-1.7398989060797227E-5</v>
      </c>
      <c r="I62" s="12">
        <v>0.16494110554812416</v>
      </c>
      <c r="J62" s="12">
        <v>5.4413179177296232E-2</v>
      </c>
      <c r="K62" s="12">
        <v>-2.4172270878929873E-4</v>
      </c>
    </row>
    <row r="63" spans="2:22" x14ac:dyDescent="0.3">
      <c r="C63" s="10">
        <v>4300</v>
      </c>
      <c r="D63" s="10">
        <v>0</v>
      </c>
      <c r="E63" s="10">
        <v>1</v>
      </c>
      <c r="F63" s="10">
        <v>22</v>
      </c>
      <c r="H63" s="12">
        <v>-4.9289424755919231E-6</v>
      </c>
      <c r="I63" s="12">
        <v>5.4413179177296128E-2</v>
      </c>
      <c r="J63" s="12">
        <v>0.26069675736803544</v>
      </c>
      <c r="K63" s="12">
        <v>-5.251912647091803E-3</v>
      </c>
    </row>
    <row r="64" spans="2:22" x14ac:dyDescent="0.3">
      <c r="C64" s="10">
        <v>6000</v>
      </c>
      <c r="D64" s="10">
        <v>1</v>
      </c>
      <c r="E64" s="10">
        <v>0</v>
      </c>
      <c r="F64" s="10">
        <v>12</v>
      </c>
      <c r="H64" s="12">
        <v>-1.5460763665752677E-6</v>
      </c>
      <c r="I64" s="12">
        <v>-2.4172270878928886E-4</v>
      </c>
      <c r="J64" s="12">
        <v>-5.2519126470918056E-3</v>
      </c>
      <c r="K64" s="12">
        <v>6.4360233294085735E-4</v>
      </c>
    </row>
    <row r="65" spans="2:27" x14ac:dyDescent="0.3">
      <c r="C65" s="10">
        <v>8000</v>
      </c>
      <c r="D65" s="10">
        <v>0</v>
      </c>
      <c r="E65" s="10">
        <v>0</v>
      </c>
      <c r="F65" s="10">
        <v>28</v>
      </c>
    </row>
    <row r="66" spans="2:27" x14ac:dyDescent="0.3">
      <c r="C66" s="10">
        <v>6700</v>
      </c>
      <c r="D66" s="10">
        <v>1</v>
      </c>
      <c r="E66" s="10">
        <v>0</v>
      </c>
      <c r="F66" s="10">
        <v>6</v>
      </c>
    </row>
    <row r="67" spans="2:27" x14ac:dyDescent="0.3">
      <c r="C67" s="10">
        <v>1400</v>
      </c>
      <c r="D67" s="10">
        <v>1</v>
      </c>
      <c r="E67" s="10">
        <v>0</v>
      </c>
      <c r="F67" s="10">
        <v>4</v>
      </c>
    </row>
    <row r="68" spans="2:27" x14ac:dyDescent="0.3">
      <c r="C68" s="10">
        <v>1800</v>
      </c>
      <c r="D68" s="10">
        <v>1</v>
      </c>
      <c r="E68" s="10">
        <v>0</v>
      </c>
      <c r="F68" s="10">
        <v>9</v>
      </c>
    </row>
    <row r="69" spans="2:27" x14ac:dyDescent="0.3">
      <c r="C69" s="10">
        <v>2200</v>
      </c>
      <c r="D69" s="10">
        <v>1</v>
      </c>
      <c r="E69" s="10">
        <v>0</v>
      </c>
      <c r="F69" s="10">
        <v>11</v>
      </c>
      <c r="H69" s="1" t="s">
        <v>51</v>
      </c>
    </row>
    <row r="70" spans="2:27" x14ac:dyDescent="0.3">
      <c r="C70" s="10">
        <v>2800</v>
      </c>
      <c r="D70" s="10">
        <v>1</v>
      </c>
      <c r="E70" s="10">
        <v>0</v>
      </c>
      <c r="F70" s="10">
        <v>0</v>
      </c>
      <c r="H70" s="12" cm="1">
        <f t="array" ref="H70:AA73">MMULT(H61:K64,C46:V49)</f>
        <v>-2.1256189446077181E-5</v>
      </c>
      <c r="I70" s="12">
        <v>1.9394858126108201E-5</v>
      </c>
      <c r="J70" s="12">
        <v>2.7002532071346499E-5</v>
      </c>
      <c r="K70" s="12">
        <v>2.7175828732293015E-5</v>
      </c>
      <c r="L70" s="20">
        <v>2.632293900950383E-5</v>
      </c>
      <c r="M70" s="20">
        <v>-4.6321377984498856E-5</v>
      </c>
      <c r="N70" s="20">
        <v>3.4810324191270865E-6</v>
      </c>
      <c r="O70" s="20">
        <v>1.0929003285362274E-5</v>
      </c>
      <c r="P70" s="20">
        <v>5.1397505398759944E-7</v>
      </c>
      <c r="Q70" s="20">
        <v>1.1789571661242915E-5</v>
      </c>
      <c r="R70" s="20">
        <v>1.4636566725103586E-5</v>
      </c>
      <c r="S70" s="20">
        <v>-1.9150582318938069E-5</v>
      </c>
      <c r="T70" s="20">
        <v>2.8943144946764115E-6</v>
      </c>
      <c r="U70" s="20">
        <v>2.2425215984379856E-5</v>
      </c>
      <c r="V70" s="20">
        <v>3.4546023661332894E-5</v>
      </c>
      <c r="W70" s="20">
        <v>3.8512338352307489E-5</v>
      </c>
      <c r="X70" s="20">
        <v>-9.9619661901462293E-6</v>
      </c>
      <c r="Y70" s="20">
        <v>-1.3800539926750543E-5</v>
      </c>
      <c r="Z70" s="20">
        <v>-1.3000884563629061E-5</v>
      </c>
      <c r="AA70" s="20">
        <v>9.8436676131069045E-6</v>
      </c>
    </row>
    <row r="71" spans="2:27" x14ac:dyDescent="0.3">
      <c r="H71" s="12">
        <v>2.3480241410314417E-2</v>
      </c>
      <c r="I71" s="12">
        <v>1.0915706525303166E-2</v>
      </c>
      <c r="J71" s="12">
        <v>-9.0379063227036316E-2</v>
      </c>
      <c r="K71" s="12">
        <v>-8.4675921091218548E-2</v>
      </c>
      <c r="L71" s="20">
        <v>-6.2105075256736787E-2</v>
      </c>
      <c r="M71" s="20">
        <v>0.14149904876759445</v>
      </c>
      <c r="N71" s="20">
        <v>2.7347804750943196E-2</v>
      </c>
      <c r="O71" s="20">
        <v>-2.856355062364346E-2</v>
      </c>
      <c r="P71" s="20">
        <v>0.12990140471774039</v>
      </c>
      <c r="Q71" s="20">
        <v>0.11274413836573248</v>
      </c>
      <c r="R71" s="20">
        <v>-1.0640408529466768E-2</v>
      </c>
      <c r="S71" s="20">
        <v>-2.5382970779597853E-2</v>
      </c>
      <c r="T71" s="20">
        <v>-2.5720373377496414E-2</v>
      </c>
      <c r="U71" s="20">
        <v>5.764649867786921E-2</v>
      </c>
      <c r="V71" s="20">
        <v>-0.1459601483324782</v>
      </c>
      <c r="W71" s="20">
        <v>4.6917542588046944E-2</v>
      </c>
      <c r="X71" s="20">
        <v>0.13961563002785085</v>
      </c>
      <c r="Y71" s="20">
        <v>0.13144742085958547</v>
      </c>
      <c r="Z71" s="20">
        <v>0.12400437981768798</v>
      </c>
      <c r="AA71" s="20">
        <v>0.11622393617789192</v>
      </c>
    </row>
    <row r="72" spans="2:27" x14ac:dyDescent="0.3">
      <c r="H72" s="12">
        <v>0.14826509071281152</v>
      </c>
      <c r="I72" s="12">
        <v>0.24837440117905563</v>
      </c>
      <c r="J72" s="12">
        <v>-9.8171489437244852E-2</v>
      </c>
      <c r="K72" s="12">
        <v>-8.6188981400383682E-2</v>
      </c>
      <c r="L72" s="20">
        <v>-4.3510861900030742E-2</v>
      </c>
      <c r="M72" s="20">
        <v>-8.181357947559087E-2</v>
      </c>
      <c r="N72" s="20">
        <v>0.23229569306628037</v>
      </c>
      <c r="O72" s="20">
        <v>-2.3642045902222488E-2</v>
      </c>
      <c r="P72" s="20">
        <v>3.9303381579020483E-2</v>
      </c>
      <c r="Q72" s="20">
        <v>3.9626351750520358E-2</v>
      </c>
      <c r="R72" s="20">
        <v>0.19043343798498649</v>
      </c>
      <c r="S72" s="20">
        <v>5.667115056989544E-2</v>
      </c>
      <c r="T72" s="20">
        <v>0.1239602264869705</v>
      </c>
      <c r="U72" s="20">
        <v>-3.8183427441357054E-2</v>
      </c>
      <c r="V72" s="20">
        <v>-0.18648509392330587</v>
      </c>
      <c r="W72" s="20">
        <v>-1.0122211291720577E-2</v>
      </c>
      <c r="X72" s="20">
        <v>2.6505009123100227E-2</v>
      </c>
      <c r="Y72" s="20">
        <v>-1.7261311025955559E-3</v>
      </c>
      <c r="Z72" s="20">
        <v>-1.4201533387015935E-2</v>
      </c>
      <c r="AA72" s="20">
        <v>4.0612140245638743E-2</v>
      </c>
    </row>
    <row r="73" spans="2:27" x14ac:dyDescent="0.3">
      <c r="C73" s="1" t="s">
        <v>52</v>
      </c>
      <c r="H73" s="12">
        <v>5.3010194618624395E-3</v>
      </c>
      <c r="I73" s="12">
        <v>-9.1171035635299741E-3</v>
      </c>
      <c r="J73" s="12">
        <v>1.2800508282956652E-3</v>
      </c>
      <c r="K73" s="12">
        <v>4.5666907238653062E-4</v>
      </c>
      <c r="L73" s="20">
        <v>-2.1932556183091498E-3</v>
      </c>
      <c r="M73" s="20">
        <v>1.4302259248156876E-2</v>
      </c>
      <c r="N73" s="20">
        <v>-4.9966178651912781E-3</v>
      </c>
      <c r="O73" s="20">
        <v>-5.4291518769785611E-4</v>
      </c>
      <c r="P73" s="20">
        <v>-2.6902731089989669E-3</v>
      </c>
      <c r="Q73" s="20">
        <v>-4.8799518085150921E-3</v>
      </c>
      <c r="R73" s="20">
        <v>-4.381764237354196E-3</v>
      </c>
      <c r="S73" s="20">
        <v>1.0935255902879606E-2</v>
      </c>
      <c r="T73" s="20">
        <v>2.2592103013334055E-3</v>
      </c>
      <c r="U73" s="20">
        <v>-1.7949529129506064E-3</v>
      </c>
      <c r="V73" s="20">
        <v>5.6522543897418644E-3</v>
      </c>
      <c r="W73" s="20">
        <v>-6.7388203671984387E-3</v>
      </c>
      <c r="X73" s="20">
        <v>1.6817970976876597E-4</v>
      </c>
      <c r="Y73" s="20">
        <v>2.7677608278429454E-3</v>
      </c>
      <c r="Z73" s="20">
        <v>3.4365349470945527E-3</v>
      </c>
      <c r="AA73" s="20">
        <v>-4.5707365352000385E-3</v>
      </c>
    </row>
    <row r="74" spans="2:27" x14ac:dyDescent="0.3">
      <c r="B74" s="13" t="s">
        <v>23</v>
      </c>
      <c r="C74" s="13">
        <v>157.22219272048335</v>
      </c>
    </row>
    <row r="75" spans="2:27" x14ac:dyDescent="0.3">
      <c r="B75" s="13" t="s">
        <v>24</v>
      </c>
      <c r="C75" s="13">
        <v>40381.166735238927</v>
      </c>
    </row>
    <row r="76" spans="2:27" x14ac:dyDescent="0.3">
      <c r="B76" s="13" t="s">
        <v>25</v>
      </c>
      <c r="C76" s="13">
        <v>-10165.650593600141</v>
      </c>
    </row>
    <row r="77" spans="2:27" x14ac:dyDescent="0.3">
      <c r="B77" s="13" t="s">
        <v>26</v>
      </c>
      <c r="C77" s="13">
        <v>-2731.886405432545</v>
      </c>
    </row>
    <row r="79" spans="2:27" x14ac:dyDescent="0.3">
      <c r="B79" s="1" t="s">
        <v>38</v>
      </c>
      <c r="C79" s="1">
        <f>_xlfn.VAR.S(N2:N21)</f>
        <v>521265886.75701922</v>
      </c>
    </row>
    <row r="81" spans="1:6" x14ac:dyDescent="0.3">
      <c r="A81" s="1" t="s">
        <v>39</v>
      </c>
      <c r="B81" s="1" t="s">
        <v>40</v>
      </c>
      <c r="C81" s="10" cm="1">
        <f t="array" ref="C81:F84">C79*H61:K64</f>
        <v>5.0716669959784522</v>
      </c>
      <c r="D81" s="10">
        <v>-9069.4994614521438</v>
      </c>
      <c r="E81" s="10">
        <v>-2569.2895703137578</v>
      </c>
      <c r="F81" s="10">
        <v>-805.9168682169269</v>
      </c>
    </row>
    <row r="82" spans="1:6" x14ac:dyDescent="0.3">
      <c r="C82" s="10">
        <v>-9069.4994614521438</v>
      </c>
      <c r="D82" s="10">
        <v>85978171.646226048</v>
      </c>
      <c r="E82" s="10">
        <v>28363734.095121894</v>
      </c>
      <c r="F82" s="10">
        <v>-126001.80214636252</v>
      </c>
    </row>
    <row r="83" spans="1:6" x14ac:dyDescent="0.3">
      <c r="C83" s="10">
        <v>-2569.2895703137615</v>
      </c>
      <c r="D83" s="10">
        <v>28363734.095121838</v>
      </c>
      <c r="E83" s="10">
        <v>135892326.40412846</v>
      </c>
      <c r="F83" s="10">
        <v>-2737642.9031567127</v>
      </c>
    </row>
    <row r="84" spans="1:6" x14ac:dyDescent="0.3">
      <c r="C84" s="10">
        <v>-805.91686821692724</v>
      </c>
      <c r="D84" s="10">
        <v>-126001.80214635738</v>
      </c>
      <c r="E84" s="10">
        <v>-2737642.903156714</v>
      </c>
      <c r="F84" s="10">
        <v>335487.94079930231</v>
      </c>
    </row>
    <row r="86" spans="1:6" x14ac:dyDescent="0.3">
      <c r="A86" s="1" t="s">
        <v>41</v>
      </c>
      <c r="B86" s="2" t="s">
        <v>42</v>
      </c>
      <c r="C86" s="1">
        <f>C74/(SQRT(C81))</f>
        <v>69.8133509121797</v>
      </c>
    </row>
    <row r="87" spans="1:6" x14ac:dyDescent="0.3">
      <c r="B87" s="2" t="s">
        <v>43</v>
      </c>
      <c r="C87" s="1">
        <f>C75/(SQRT(D82))</f>
        <v>4.3549659138413848</v>
      </c>
    </row>
    <row r="88" spans="1:6" x14ac:dyDescent="0.3">
      <c r="B88" s="2" t="s">
        <v>44</v>
      </c>
      <c r="C88" s="1">
        <f>C76/(SQRT(E83))</f>
        <v>-0.87204262103398866</v>
      </c>
    </row>
    <row r="89" spans="1:6" x14ac:dyDescent="0.3">
      <c r="B89" s="2" t="s">
        <v>45</v>
      </c>
      <c r="C89" s="1">
        <f>C77/(SQRT(F84))</f>
        <v>-4.7165471466385878</v>
      </c>
    </row>
    <row r="91" spans="1:6" x14ac:dyDescent="0.3">
      <c r="A91" s="1" t="s">
        <v>46</v>
      </c>
      <c r="B91" s="17" t="s">
        <v>56</v>
      </c>
    </row>
    <row r="92" spans="1:6" x14ac:dyDescent="0.3">
      <c r="A92" s="1"/>
      <c r="B92" s="1" t="s">
        <v>3</v>
      </c>
      <c r="C92" s="18">
        <f>(3500*C74)+(C75*0)+(C77*10)</f>
        <v>522958.8104673663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jui nene</cp:lastModifiedBy>
  <cp:lastPrinted>2020-09-07T23:23:25Z</cp:lastPrinted>
  <dcterms:created xsi:type="dcterms:W3CDTF">2020-09-03T00:56:35Z</dcterms:created>
  <dcterms:modified xsi:type="dcterms:W3CDTF">2020-09-14T21:08:00Z</dcterms:modified>
</cp:coreProperties>
</file>