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ette\Documents\_PolytechNancy\Cours\2i\3A\Statistiques\TDs\"/>
    </mc:Choice>
  </mc:AlternateContent>
  <xr:revisionPtr revIDLastSave="0" documentId="13_ncr:1_{42674BD7-05A3-4753-A7D5-BDD69B322A49}" xr6:coauthVersionLast="46" xr6:coauthVersionMax="46" xr10:uidLastSave="{00000000-0000-0000-0000-000000000000}"/>
  <bookViews>
    <workbookView xWindow="-108" yWindow="-108" windowWidth="23256" windowHeight="12576" firstSheet="4" activeTab="4" xr2:uid="{45460A4C-EF86-4DEB-A91F-58E6CE599347}"/>
  </bookViews>
  <sheets>
    <sheet name="DonnéesEx1" sheetId="1" r:id="rId1"/>
    <sheet name="AnnalyseEx1" sheetId="3" r:id="rId2"/>
    <sheet name="DonnéesEx2" sheetId="5" r:id="rId3"/>
    <sheet name="AnnalyseEx2" sheetId="4" r:id="rId4"/>
    <sheet name="DonnéesEx3" sheetId="7" r:id="rId5"/>
    <sheet name="AnnalyseEx3" sheetId="6" r:id="rId6"/>
    <sheet name="DonnéesEx4" sheetId="8" r:id="rId7"/>
    <sheet name="AnnalyseEx4" sheetId="10" r:id="rId8"/>
    <sheet name="DonnéesEx5" sheetId="9" r:id="rId9"/>
    <sheet name="AnnalyseEx5" sheetId="11" r:id="rId10"/>
  </sheets>
  <definedNames>
    <definedName name="_xlchart.v1.0" hidden="1">DonnéesEx3!$A$3:$A$102</definedName>
    <definedName name="_xlchart.v1.1" hidden="1">DonnéesEx3!$A$3:$A$102</definedName>
    <definedName name="n">#REF!</definedName>
    <definedName name="_xlnm.Print_Area" localSheetId="4">DonnéesEx3!$A$1:$M$115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1" l="1"/>
  <c r="C29" i="11"/>
  <c r="C26" i="11"/>
  <c r="C25" i="11"/>
  <c r="C22" i="11"/>
  <c r="C21" i="11"/>
  <c r="D3" i="9"/>
  <c r="D4" i="9"/>
  <c r="D5" i="9"/>
  <c r="D6" i="9"/>
  <c r="D7" i="9"/>
  <c r="C3" i="9"/>
  <c r="C4" i="9"/>
  <c r="C5" i="9"/>
  <c r="C6" i="9"/>
  <c r="C7" i="9"/>
  <c r="D2" i="9"/>
  <c r="C2" i="9"/>
  <c r="B7" i="10"/>
  <c r="B9" i="10" s="1"/>
  <c r="B11" i="10"/>
  <c r="B3" i="10"/>
  <c r="B5" i="10" s="1"/>
  <c r="B2" i="10"/>
  <c r="B1" i="10"/>
  <c r="F47" i="6"/>
  <c r="F46" i="6"/>
  <c r="F44" i="6"/>
  <c r="F43" i="6"/>
  <c r="F61" i="6" s="1"/>
  <c r="F42" i="6"/>
  <c r="F41" i="6"/>
  <c r="F60" i="6" s="1"/>
  <c r="K37" i="6"/>
  <c r="J14" i="6" s="1"/>
  <c r="J16" i="6" s="1"/>
  <c r="J18" i="6" s="1"/>
  <c r="J20" i="6" s="1"/>
  <c r="J22" i="6" s="1"/>
  <c r="J24" i="6" s="1"/>
  <c r="J26" i="6" s="1"/>
  <c r="J28" i="6" s="1"/>
  <c r="J30" i="6" s="1"/>
  <c r="J32" i="6" s="1"/>
  <c r="J34" i="6" s="1"/>
  <c r="J36" i="6" s="1"/>
  <c r="D15" i="6"/>
  <c r="D14" i="6"/>
  <c r="G7" i="6" s="1"/>
  <c r="D16" i="6"/>
  <c r="D17" i="6" s="1"/>
  <c r="D13" i="6"/>
  <c r="D18" i="6" s="1"/>
  <c r="B7" i="6"/>
  <c r="F14" i="6"/>
  <c r="G13" i="6" s="1"/>
  <c r="H13" i="6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C45" i="4"/>
  <c r="C49" i="4"/>
  <c r="C48" i="4"/>
  <c r="C47" i="4"/>
  <c r="C46" i="4"/>
  <c r="C44" i="4"/>
  <c r="B34" i="4" a="1"/>
  <c r="B34" i="4" s="1"/>
  <c r="C40" i="4"/>
  <c r="C39" i="4"/>
  <c r="C38" i="4"/>
  <c r="C37" i="4"/>
  <c r="C36" i="4"/>
  <c r="C35" i="4"/>
  <c r="C34" i="4"/>
  <c r="B13" i="10" l="1"/>
  <c r="B14" i="10" s="1"/>
  <c r="B16" i="10"/>
  <c r="B19" i="10"/>
  <c r="E7" i="6"/>
  <c r="E8" i="6"/>
  <c r="I13" i="6"/>
  <c r="F16" i="6"/>
  <c r="D6" i="8" l="1"/>
  <c r="D5" i="8"/>
  <c r="B20" i="10"/>
  <c r="E9" i="8" s="1"/>
  <c r="E5" i="8"/>
  <c r="E2" i="8"/>
  <c r="E7" i="8"/>
  <c r="B22" i="10"/>
  <c r="B17" i="10"/>
  <c r="D3" i="8" s="1"/>
  <c r="F18" i="6"/>
  <c r="G15" i="6"/>
  <c r="H15" i="6" s="1"/>
  <c r="D11" i="8" l="1"/>
  <c r="E10" i="8"/>
  <c r="E4" i="8"/>
  <c r="D10" i="8"/>
  <c r="D8" i="8"/>
  <c r="D7" i="8"/>
  <c r="E3" i="8"/>
  <c r="E8" i="8"/>
  <c r="D2" i="8"/>
  <c r="E11" i="8"/>
  <c r="E6" i="8"/>
  <c r="D9" i="8"/>
  <c r="D4" i="8"/>
  <c r="G17" i="6"/>
  <c r="F20" i="6"/>
  <c r="G19" i="6" s="1"/>
  <c r="H19" i="6" l="1"/>
  <c r="I19" i="6" s="1"/>
  <c r="H17" i="6"/>
  <c r="I17" i="6" s="1"/>
  <c r="I15" i="6"/>
  <c r="F22" i="6"/>
  <c r="F24" i="6" l="1"/>
  <c r="G23" i="6" s="1"/>
  <c r="G21" i="6"/>
  <c r="H21" i="6" s="1"/>
  <c r="H23" i="6" l="1"/>
  <c r="I23" i="6" s="1"/>
  <c r="F26" i="6"/>
  <c r="G25" i="6" s="1"/>
  <c r="H25" i="6" l="1"/>
  <c r="I25" i="6" s="1"/>
  <c r="I21" i="6"/>
  <c r="F28" i="6"/>
  <c r="G27" i="6" s="1"/>
  <c r="H27" i="6" s="1"/>
  <c r="F30" i="6" l="1"/>
  <c r="I27" i="6" l="1"/>
  <c r="F32" i="6"/>
  <c r="G29" i="6"/>
  <c r="H29" i="6" l="1"/>
  <c r="I29" i="6" s="1"/>
  <c r="F34" i="6"/>
  <c r="G33" i="6" s="1"/>
  <c r="G31" i="6"/>
  <c r="H33" i="6" l="1"/>
  <c r="I33" i="6" s="1"/>
  <c r="H31" i="6"/>
  <c r="I31" i="6" s="1"/>
  <c r="F36" i="6"/>
  <c r="B14" i="6" s="1"/>
  <c r="G35" i="6" l="1"/>
  <c r="B13" i="6" l="1"/>
  <c r="H35" i="6"/>
  <c r="I35" i="6" s="1"/>
  <c r="I37" i="6" s="1"/>
  <c r="H37" i="6" l="1"/>
  <c r="B16" i="6"/>
  <c r="B17" i="6" s="1"/>
  <c r="A2" i="1"/>
  <c r="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<sst xmlns="http://schemas.openxmlformats.org/spreadsheetml/2006/main" count="211" uniqueCount="146">
  <si>
    <t>Tennis</t>
  </si>
  <si>
    <t>Football</t>
  </si>
  <si>
    <t>Ping-pong</t>
  </si>
  <si>
    <t>Basket</t>
  </si>
  <si>
    <t>VTT</t>
  </si>
  <si>
    <t>Aucun</t>
  </si>
  <si>
    <t>Natation</t>
  </si>
  <si>
    <t>Ski</t>
  </si>
  <si>
    <t>sport favoris</t>
  </si>
  <si>
    <t>qualitatif nominal</t>
  </si>
  <si>
    <t>Sport prefere</t>
  </si>
  <si>
    <t>Nombre de Sport prefere</t>
  </si>
  <si>
    <t>etudiant</t>
  </si>
  <si>
    <t>28 étudiants</t>
  </si>
  <si>
    <t>nom</t>
  </si>
  <si>
    <t>nature</t>
  </si>
  <si>
    <t>induvidu</t>
  </si>
  <si>
    <t>echantillon</t>
  </si>
  <si>
    <t>population</t>
  </si>
  <si>
    <t>Etudiants de PN</t>
  </si>
  <si>
    <t>Le mode est le football</t>
  </si>
  <si>
    <t>(le plus cité)</t>
  </si>
  <si>
    <t>Le sport prefere le moins cité est le ski</t>
  </si>
  <si>
    <t>/!\ car effectifs très faibles /!\</t>
  </si>
  <si>
    <t>nombre de pieces defectueuses par groupe</t>
  </si>
  <si>
    <t>caractere</t>
  </si>
  <si>
    <t>individu</t>
  </si>
  <si>
    <t>Quantitatif discontinu</t>
  </si>
  <si>
    <t>nature du caractere</t>
  </si>
  <si>
    <t>Groupe de 50 pièces</t>
  </si>
  <si>
    <t>echantiillon</t>
  </si>
  <si>
    <t>50 Groupes</t>
  </si>
  <si>
    <t>Tous les groupes de 50 pieces que l'on peut tester</t>
  </si>
  <si>
    <t>Numero</t>
  </si>
  <si>
    <t>Nb pieces deffectueuses</t>
  </si>
  <si>
    <t>Jours</t>
  </si>
  <si>
    <t>L</t>
  </si>
  <si>
    <t>M</t>
  </si>
  <si>
    <t>Me</t>
  </si>
  <si>
    <t>J</t>
  </si>
  <si>
    <t>V</t>
  </si>
  <si>
    <t>S</t>
  </si>
  <si>
    <t>Somme de Nb pieces deffectueuses</t>
  </si>
  <si>
    <t>Étiquettes de lignes</t>
  </si>
  <si>
    <t>Total général</t>
  </si>
  <si>
    <t>Nombre de Numero</t>
  </si>
  <si>
    <t xml:space="preserve">moyenne de pieces defectueuses par gp : </t>
  </si>
  <si>
    <t>etendue</t>
  </si>
  <si>
    <t>mode</t>
  </si>
  <si>
    <t>variance</t>
  </si>
  <si>
    <t>ecart type</t>
  </si>
  <si>
    <t>medianne</t>
  </si>
  <si>
    <t>Caractère :</t>
  </si>
  <si>
    <t>Individu :</t>
  </si>
  <si>
    <t>Echantillon :</t>
  </si>
  <si>
    <t>Population :</t>
  </si>
  <si>
    <t>Racine (n) =</t>
  </si>
  <si>
    <r>
      <t>Ampliture des classes :</t>
    </r>
    <r>
      <rPr>
        <sz val="10"/>
        <rFont val="Arial"/>
        <family val="2"/>
      </rPr>
      <t xml:space="preserve"> E/q</t>
    </r>
  </si>
  <si>
    <t>Formule de Sturges :</t>
  </si>
  <si>
    <t>q = 1+3,322 log n =</t>
  </si>
  <si>
    <t>Masse</t>
  </si>
  <si>
    <t>Bornes de classes</t>
  </si>
  <si>
    <t>Borne de classes</t>
  </si>
  <si>
    <t>Effectifs ni</t>
  </si>
  <si>
    <t>Centre de classe</t>
  </si>
  <si>
    <t>ni.xi centre de classe</t>
  </si>
  <si>
    <t>ni.xi.xi centre de classe</t>
  </si>
  <si>
    <t>Fréquence cumulée aux bornes</t>
  </si>
  <si>
    <t>Après répartition en classes</t>
  </si>
  <si>
    <t>Avant répartition en classes</t>
  </si>
  <si>
    <t>Moyenne :</t>
  </si>
  <si>
    <t>Etendue :</t>
  </si>
  <si>
    <t>Classe modale :</t>
  </si>
  <si>
    <t>Variance :</t>
  </si>
  <si>
    <t>Ecart-type :</t>
  </si>
  <si>
    <t>Médiane :</t>
  </si>
  <si>
    <t>Coefficient de variation :</t>
  </si>
  <si>
    <t>Ecart-interdécile :</t>
  </si>
  <si>
    <t>Coeffcient d'asymétrie empirique de Pearson :</t>
  </si>
  <si>
    <t>Ecart-interquartile :</t>
  </si>
  <si>
    <t>Nombre de classes :</t>
    <phoneticPr fontId="0" type="noConversion"/>
  </si>
  <si>
    <t>Masse des camembert</t>
  </si>
  <si>
    <t>Nature :</t>
  </si>
  <si>
    <t>Quantitatif continu</t>
  </si>
  <si>
    <t>Frommage</t>
  </si>
  <si>
    <t>100 frommages</t>
  </si>
  <si>
    <t>Tous les frommages produits</t>
  </si>
  <si>
    <t>On prend q =</t>
  </si>
  <si>
    <t xml:space="preserve">on prend Amplitude = </t>
  </si>
  <si>
    <t>Q1</t>
  </si>
  <si>
    <t>Q2</t>
  </si>
  <si>
    <t>Q3</t>
  </si>
  <si>
    <t>Q4</t>
  </si>
  <si>
    <t>D1</t>
  </si>
  <si>
    <t>D9</t>
  </si>
  <si>
    <t>bas</t>
  </si>
  <si>
    <t>haut</t>
  </si>
  <si>
    <t>valeur max &lt; pivot haut</t>
  </si>
  <si>
    <t>tout va bien</t>
  </si>
  <si>
    <t>pivots :</t>
  </si>
  <si>
    <t>valeur min &lt; pivot bas</t>
  </si>
  <si>
    <t>Classes</t>
  </si>
  <si>
    <t>ou plus...</t>
  </si>
  <si>
    <t>% cumulé</t>
  </si>
  <si>
    <t>Effectifs</t>
  </si>
  <si>
    <t>valeurs aberrante</t>
  </si>
  <si>
    <t>b'</t>
  </si>
  <si>
    <t>a'</t>
  </si>
  <si>
    <t>b</t>
  </si>
  <si>
    <t>a</t>
  </si>
  <si>
    <t>r</t>
  </si>
  <si>
    <t>Covariance X</t>
  </si>
  <si>
    <t>Ecart-type Y</t>
  </si>
  <si>
    <t>Variance Y</t>
  </si>
  <si>
    <t>Ecart-type X</t>
  </si>
  <si>
    <t>Variance X</t>
  </si>
  <si>
    <t>Moyenne Y</t>
  </si>
  <si>
    <t>Moyenne X</t>
  </si>
  <si>
    <t>X est</t>
  </si>
  <si>
    <t>Y est</t>
  </si>
  <si>
    <t>Y : Charge de rupture (kg)</t>
  </si>
  <si>
    <t>X : Teneur en carbone (pour 10000)</t>
  </si>
  <si>
    <t>Numéro de l'essai</t>
  </si>
  <si>
    <t>Pression P</t>
  </si>
  <si>
    <t xml:space="preserve">Volume V </t>
  </si>
  <si>
    <t>r²</t>
  </si>
  <si>
    <t>a.a' = r²</t>
  </si>
  <si>
    <t>r est très proche de 1, donc liaison linéaire très intense entre X et Y</t>
  </si>
  <si>
    <t>(verrification: OK)</t>
  </si>
  <si>
    <t>Ln(V)</t>
  </si>
  <si>
    <t>Ln(P)</t>
  </si>
  <si>
    <t>gamma = -a</t>
  </si>
  <si>
    <t>C = exp(b)</t>
  </si>
  <si>
    <t>a =</t>
  </si>
  <si>
    <t>b=</t>
  </si>
  <si>
    <t>r²=</t>
  </si>
  <si>
    <t xml:space="preserve">V = </t>
  </si>
  <si>
    <t>x = ln(V)</t>
  </si>
  <si>
    <r>
      <t>y</t>
    </r>
    <r>
      <rPr>
        <sz val="8"/>
        <color theme="1"/>
        <rFont val="Calibri"/>
        <family val="2"/>
        <scheme val="minor"/>
      </rPr>
      <t>esti</t>
    </r>
    <r>
      <rPr>
        <sz val="11"/>
        <color theme="1"/>
        <rFont val="Calibri"/>
        <family val="2"/>
        <scheme val="minor"/>
      </rPr>
      <t xml:space="preserve"> = </t>
    </r>
  </si>
  <si>
    <t>Pest = exp(yest)</t>
  </si>
  <si>
    <t>r=</t>
  </si>
  <si>
    <t>caratere</t>
  </si>
  <si>
    <t>quantitatif continu</t>
  </si>
  <si>
    <t>un acier</t>
  </si>
  <si>
    <t>10 aciers</t>
  </si>
  <si>
    <t>aciers du 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</si>
</sst>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  <font>
      <sz val="9"/>
      <name val="Arial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/>
  </cellStyleXfs>
  <cellXfs count="7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  <xf numFmtId="0" fontId="2" fillId="0" borderId="0" xfId="1"/>
    <xf numFmtId="0" fontId="3" fillId="0" borderId="0" xfId="1" applyFont="1"/>
    <xf numFmtId="0" fontId="2" fillId="0" borderId="0" xfId="1" applyAlignment="1">
      <alignment horizontal="center"/>
    </xf>
    <xf numFmtId="1" fontId="2" fillId="0" borderId="0" xfId="1" applyNumberForma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0" fontId="3" fillId="0" borderId="9" xfId="1" applyFont="1" applyBorder="1" applyAlignment="1">
      <alignment horizontal="center" vertical="center" wrapText="1"/>
    </xf>
    <xf numFmtId="0" fontId="5" fillId="0" borderId="0" xfId="1" applyFont="1"/>
    <xf numFmtId="2" fontId="2" fillId="0" borderId="0" xfId="1" applyNumberFormat="1"/>
    <xf numFmtId="0" fontId="4" fillId="0" borderId="0" xfId="1" applyFont="1" applyAlignment="1">
      <alignment horizontal="centerContinuous"/>
    </xf>
    <xf numFmtId="0" fontId="3" fillId="0" borderId="0" xfId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horizontal="left" vertical="center"/>
    </xf>
    <xf numFmtId="164" fontId="2" fillId="0" borderId="0" xfId="1" applyNumberFormat="1" applyAlignment="1">
      <alignment horizontal="left" vertical="center"/>
    </xf>
    <xf numFmtId="0" fontId="5" fillId="0" borderId="0" xfId="1" applyFont="1" applyAlignment="1">
      <alignment vertical="center"/>
    </xf>
    <xf numFmtId="0" fontId="2" fillId="0" borderId="1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6" xfId="1" applyBorder="1" applyAlignment="1">
      <alignment vertical="center"/>
    </xf>
    <xf numFmtId="0" fontId="2" fillId="0" borderId="2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3" xfId="1" applyBorder="1" applyAlignment="1">
      <alignment horizontal="center" vertical="center"/>
    </xf>
    <xf numFmtId="1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2" fontId="2" fillId="0" borderId="0" xfId="1" applyNumberFormat="1" applyAlignment="1">
      <alignment horizontal="center" vertical="center"/>
    </xf>
    <xf numFmtId="0" fontId="6" fillId="0" borderId="0" xfId="1" applyFont="1" applyAlignment="1">
      <alignment vertical="center"/>
    </xf>
    <xf numFmtId="9" fontId="2" fillId="0" borderId="0" xfId="1" applyNumberFormat="1" applyAlignment="1">
      <alignment vertical="center"/>
    </xf>
    <xf numFmtId="0" fontId="2" fillId="0" borderId="5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8" xfId="1" applyBorder="1" applyAlignment="1">
      <alignment vertical="center"/>
    </xf>
    <xf numFmtId="1" fontId="2" fillId="0" borderId="0" xfId="1" applyNumberFormat="1" applyAlignment="1">
      <alignment horizontal="center" vertical="center"/>
    </xf>
    <xf numFmtId="0" fontId="2" fillId="0" borderId="0" xfId="1" applyAlignment="1">
      <alignment horizontal="right" vertical="center"/>
    </xf>
    <xf numFmtId="164" fontId="2" fillId="0" borderId="0" xfId="1" applyNumberFormat="1" applyAlignment="1">
      <alignment vertical="center"/>
    </xf>
    <xf numFmtId="2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8" fillId="0" borderId="8" xfId="0" applyFont="1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10" fontId="0" fillId="0" borderId="0" xfId="0" applyNumberFormat="1"/>
    <xf numFmtId="2" fontId="2" fillId="0" borderId="0" xfId="1" applyNumberFormat="1" applyAlignment="1">
      <alignment horizontal="center"/>
    </xf>
    <xf numFmtId="0" fontId="9" fillId="0" borderId="0" xfId="1" applyFont="1"/>
    <xf numFmtId="165" fontId="2" fillId="0" borderId="0" xfId="1" applyNumberFormat="1"/>
    <xf numFmtId="0" fontId="10" fillId="0" borderId="0" xfId="1" applyFont="1"/>
    <xf numFmtId="165" fontId="2" fillId="0" borderId="0" xfId="1" applyNumberFormat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 applyAlignment="1">
      <alignment horizontal="center" wrapText="1"/>
    </xf>
    <xf numFmtId="0" fontId="2" fillId="0" borderId="11" xfId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7" xfId="1" applyBorder="1" applyAlignment="1">
      <alignment horizontal="center"/>
    </xf>
    <xf numFmtId="0" fontId="9" fillId="0" borderId="12" xfId="1" applyFont="1" applyBorder="1" applyAlignment="1">
      <alignment horizontal="center" wrapText="1"/>
    </xf>
    <xf numFmtId="0" fontId="9" fillId="0" borderId="9" xfId="1" applyFont="1" applyBorder="1" applyAlignment="1">
      <alignment horizontal="center" wrapText="1"/>
    </xf>
    <xf numFmtId="165" fontId="0" fillId="0" borderId="0" xfId="0" applyNumberFormat="1"/>
    <xf numFmtId="1" fontId="0" fillId="0" borderId="0" xfId="0" applyNumberFormat="1"/>
    <xf numFmtId="0" fontId="6" fillId="0" borderId="0" xfId="1" applyFo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2" fillId="0" borderId="0" xfId="1" applyBorder="1"/>
    <xf numFmtId="0" fontId="12" fillId="0" borderId="0" xfId="0" applyFont="1" applyFill="1" applyBorder="1" applyAlignment="1">
      <alignment horizontal="center"/>
    </xf>
  </cellXfs>
  <cellStyles count="3">
    <cellStyle name="Normal" xfId="0" builtinId="0"/>
    <cellStyle name="Normal 2" xfId="1" xr:uid="{3D260D0C-338A-40E3-832D-A4F7B051A47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[TD1.xlsx]AnnalyseEx1!Tableau croisé dynamique10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Sport prefere des étudiants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AnnalyseEx1!$C$3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AnnalyseEx1!$B$4:$B$11</c:f>
              <c:strCache>
                <c:ptCount val="8"/>
                <c:pt idx="0">
                  <c:v>Aucun</c:v>
                </c:pt>
                <c:pt idx="1">
                  <c:v>Basket</c:v>
                </c:pt>
                <c:pt idx="2">
                  <c:v>Football</c:v>
                </c:pt>
                <c:pt idx="3">
                  <c:v>Natation</c:v>
                </c:pt>
                <c:pt idx="4">
                  <c:v>Ping-pong</c:v>
                </c:pt>
                <c:pt idx="5">
                  <c:v>Ski</c:v>
                </c:pt>
                <c:pt idx="6">
                  <c:v>Tennis</c:v>
                </c:pt>
                <c:pt idx="7">
                  <c:v>VTT</c:v>
                </c:pt>
              </c:strCache>
            </c:strRef>
          </c:cat>
          <c:val>
            <c:numRef>
              <c:f>AnnalyseEx1!$C$4:$C$11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D-4CDB-9FB3-AAC539DC7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2628447"/>
        <c:axId val="922631359"/>
      </c:barChart>
      <c:catAx>
        <c:axId val="92262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2631359"/>
        <c:crosses val="autoZero"/>
        <c:auto val="1"/>
        <c:lblAlgn val="ctr"/>
        <c:lblOffset val="100"/>
        <c:noMultiLvlLbl val="0"/>
      </c:catAx>
      <c:valAx>
        <c:axId val="922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262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[TD1.xlsx]AnnalyseEx1!Tableau croisé dynamique10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Sport préféré des étudiants de PN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AnnalyseEx1!$C$3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5E7-47AE-9659-C96CE58E18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5E7-47AE-9659-C96CE58E18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5E7-47AE-9659-C96CE58E18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5E7-47AE-9659-C96CE58E18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5E7-47AE-9659-C96CE58E18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5E7-47AE-9659-C96CE58E18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E5E7-47AE-9659-C96CE58E18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5E7-47AE-9659-C96CE58E18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AnnalyseEx1!$B$4:$B$11</c:f>
              <c:strCache>
                <c:ptCount val="8"/>
                <c:pt idx="0">
                  <c:v>Aucun</c:v>
                </c:pt>
                <c:pt idx="1">
                  <c:v>Basket</c:v>
                </c:pt>
                <c:pt idx="2">
                  <c:v>Football</c:v>
                </c:pt>
                <c:pt idx="3">
                  <c:v>Natation</c:v>
                </c:pt>
                <c:pt idx="4">
                  <c:v>Ping-pong</c:v>
                </c:pt>
                <c:pt idx="5">
                  <c:v>Ski</c:v>
                </c:pt>
                <c:pt idx="6">
                  <c:v>Tennis</c:v>
                </c:pt>
                <c:pt idx="7">
                  <c:v>VTT</c:v>
                </c:pt>
              </c:strCache>
            </c:strRef>
          </c:cat>
          <c:val>
            <c:numRef>
              <c:f>AnnalyseEx1!$C$4:$C$11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7-47AE-9659-C96CE58E189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[TD1.xlsx]AnnalyseEx2!Tableau croisé dynamique2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AnnalyseEx2!$C$11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AnnalyseEx2!$B$12:$B$18</c:f>
              <c:strCache>
                <c:ptCount val="6"/>
                <c:pt idx="0">
                  <c:v>L</c:v>
                </c:pt>
                <c:pt idx="1">
                  <c:v>M</c:v>
                </c:pt>
                <c:pt idx="2">
                  <c:v>Me</c:v>
                </c:pt>
                <c:pt idx="3">
                  <c:v>J</c:v>
                </c:pt>
                <c:pt idx="4">
                  <c:v>V</c:v>
                </c:pt>
                <c:pt idx="5">
                  <c:v>S</c:v>
                </c:pt>
              </c:strCache>
            </c:strRef>
          </c:cat>
          <c:val>
            <c:numRef>
              <c:f>AnnalyseEx2!$C$12:$C$18</c:f>
              <c:numCache>
                <c:formatCode>General</c:formatCode>
                <c:ptCount val="6"/>
                <c:pt idx="0">
                  <c:v>17</c:v>
                </c:pt>
                <c:pt idx="1">
                  <c:v>20</c:v>
                </c:pt>
                <c:pt idx="2">
                  <c:v>18</c:v>
                </c:pt>
                <c:pt idx="3">
                  <c:v>22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A-4029-BF35-502920017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9247"/>
        <c:axId val="74713007"/>
      </c:barChart>
      <c:catAx>
        <c:axId val="7471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713007"/>
        <c:crosses val="autoZero"/>
        <c:auto val="1"/>
        <c:lblAlgn val="ctr"/>
        <c:lblOffset val="100"/>
        <c:noMultiLvlLbl val="0"/>
      </c:catAx>
      <c:valAx>
        <c:axId val="7471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71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[TD1.xlsx]AnnalyseEx2!Tableau croisé dynamique3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AnnalyseEx2!$C$23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AnnalyseEx2!$B$24:$B$31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AnnalyseEx2!$C$24:$C$31</c:f>
              <c:numCache>
                <c:formatCode>General</c:formatCode>
                <c:ptCount val="7"/>
                <c:pt idx="0">
                  <c:v>7</c:v>
                </c:pt>
                <c:pt idx="1">
                  <c:v>12</c:v>
                </c:pt>
                <c:pt idx="2">
                  <c:v>15</c:v>
                </c:pt>
                <c:pt idx="3">
                  <c:v>9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7-46DF-AA77-D501333CC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0931599"/>
        <c:axId val="1650924111"/>
      </c:barChart>
      <c:catAx>
        <c:axId val="165093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0924111"/>
        <c:crosses val="autoZero"/>
        <c:auto val="1"/>
        <c:lblAlgn val="ctr"/>
        <c:lblOffset val="100"/>
        <c:noMultiLvlLbl val="0"/>
      </c:catAx>
      <c:valAx>
        <c:axId val="165092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093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Frequence cumulée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bg1"/>
              </a:solidFill>
            </a:ln>
            <a:effectLst/>
          </c:spPr>
          <c:invertIfNegative val="0"/>
          <c:cat>
            <c:numRef>
              <c:f>AnnalyseEx2!$B$34:$B$40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AnnalyseEx2!$C$34:$C$40</c:f>
              <c:numCache>
                <c:formatCode>General</c:formatCode>
                <c:ptCount val="7"/>
                <c:pt idx="0">
                  <c:v>7</c:v>
                </c:pt>
                <c:pt idx="1">
                  <c:v>19</c:v>
                </c:pt>
                <c:pt idx="2">
                  <c:v>34</c:v>
                </c:pt>
                <c:pt idx="3">
                  <c:v>43</c:v>
                </c:pt>
                <c:pt idx="4">
                  <c:v>47</c:v>
                </c:pt>
                <c:pt idx="5">
                  <c:v>49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8-4CE7-A82A-F633B34A7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4724655"/>
        <c:axId val="74700527"/>
      </c:barChart>
      <c:catAx>
        <c:axId val="7472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700527"/>
        <c:crosses val="autoZero"/>
        <c:auto val="1"/>
        <c:lblAlgn val="ctr"/>
        <c:lblOffset val="100"/>
        <c:noMultiLvlLbl val="0"/>
      </c:catAx>
      <c:valAx>
        <c:axId val="7470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72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fr-FR"/>
              <a:t>Masse des camenberts (en effectif après mise en classe)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solidFill>
                <a:schemeClr val="bg1"/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AnnalyseEx3!$G$13:$G$35</c15:sqref>
                  </c15:fullRef>
                </c:ext>
              </c:extLst>
              <c:f>(AnnalyseEx3!$G$13,AnnalyseEx3!$G$15,AnnalyseEx3!$G$17,AnnalyseEx3!$G$19,AnnalyseEx3!$G$21,AnnalyseEx3!$G$23,AnnalyseEx3!$G$25,AnnalyseEx3!$G$27,AnnalyseEx3!$G$29,AnnalyseEx3!$G$31,AnnalyseEx3!$G$33,AnnalyseEx3!$G$35)</c:f>
              <c:numCache>
                <c:formatCode>General</c:formatCode>
                <c:ptCount val="12"/>
                <c:pt idx="0">
                  <c:v>145</c:v>
                </c:pt>
                <c:pt idx="1">
                  <c:v>150</c:v>
                </c:pt>
                <c:pt idx="2">
                  <c:v>155</c:v>
                </c:pt>
                <c:pt idx="3">
                  <c:v>160</c:v>
                </c:pt>
                <c:pt idx="4">
                  <c:v>165</c:v>
                </c:pt>
                <c:pt idx="5">
                  <c:v>170</c:v>
                </c:pt>
                <c:pt idx="6">
                  <c:v>175</c:v>
                </c:pt>
                <c:pt idx="7">
                  <c:v>180</c:v>
                </c:pt>
                <c:pt idx="8">
                  <c:v>185</c:v>
                </c:pt>
                <c:pt idx="9">
                  <c:v>190</c:v>
                </c:pt>
                <c:pt idx="10">
                  <c:v>195</c:v>
                </c:pt>
                <c:pt idx="11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AnnalyseEx3!$K$13:$K$35</c15:sqref>
                  </c15:fullRef>
                </c:ext>
              </c:extLst>
              <c:f>(AnnalyseEx3!$K$13,AnnalyseEx3!$K$15,AnnalyseEx3!$K$17,AnnalyseEx3!$K$19,AnnalyseEx3!$K$21,AnnalyseEx3!$K$23,AnnalyseEx3!$K$25,AnnalyseEx3!$K$27,AnnalyseEx3!$K$29,AnnalyseEx3!$K$31,AnnalyseEx3!$K$33,AnnalyseEx3!$K$35)</c:f>
              <c:numCache>
                <c:formatCode>General</c:formatCode>
                <c:ptCount val="12"/>
                <c:pt idx="0" formatCode="0">
                  <c:v>1</c:v>
                </c:pt>
                <c:pt idx="1" formatCode="0">
                  <c:v>1</c:v>
                </c:pt>
                <c:pt idx="2" formatCode="0">
                  <c:v>1</c:v>
                </c:pt>
                <c:pt idx="3" formatCode="0">
                  <c:v>6</c:v>
                </c:pt>
                <c:pt idx="4" formatCode="0">
                  <c:v>12</c:v>
                </c:pt>
                <c:pt idx="5" formatCode="0">
                  <c:v>17</c:v>
                </c:pt>
                <c:pt idx="6" formatCode="0">
                  <c:v>26</c:v>
                </c:pt>
                <c:pt idx="7" formatCode="0">
                  <c:v>17</c:v>
                </c:pt>
                <c:pt idx="8" formatCode="0">
                  <c:v>6</c:v>
                </c:pt>
                <c:pt idx="9" formatCode="0">
                  <c:v>8</c:v>
                </c:pt>
                <c:pt idx="10" formatCode="0">
                  <c:v>4</c:v>
                </c:pt>
                <c:pt idx="11" formatCode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D-4317-A574-8596A54210D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151317519"/>
        <c:axId val="1151312943"/>
      </c:barChart>
      <c:catAx>
        <c:axId val="115131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1312943"/>
        <c:crosses val="autoZero"/>
        <c:auto val="1"/>
        <c:lblAlgn val="ctr"/>
        <c:lblOffset val="100"/>
        <c:noMultiLvlLbl val="0"/>
      </c:catAx>
      <c:valAx>
        <c:axId val="1151312943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15131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Masse des camenberts en  frequences cumulées APRès</a:t>
            </a:r>
            <a:r>
              <a:rPr lang="fr-FR" baseline="0"/>
              <a:t> mise en classe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(AnnalyseEx3!$F$12,AnnalyseEx3!$F$14,AnnalyseEx3!$F$16,AnnalyseEx3!$F$18,AnnalyseEx3!$F$20,AnnalyseEx3!$F$22,AnnalyseEx3!$F$24,AnnalyseEx3!$F$26,AnnalyseEx3!$F$28,AnnalyseEx3!$F$30,AnnalyseEx3!$F$32,AnnalyseEx3!$F$34,AnnalyseEx3!$F$36)</c:f>
              <c:numCache>
                <c:formatCode>General</c:formatCode>
                <c:ptCount val="13"/>
                <c:pt idx="0">
                  <c:v>142.5</c:v>
                </c:pt>
                <c:pt idx="1">
                  <c:v>147.5</c:v>
                </c:pt>
                <c:pt idx="2">
                  <c:v>152.5</c:v>
                </c:pt>
                <c:pt idx="3">
                  <c:v>157.5</c:v>
                </c:pt>
                <c:pt idx="4">
                  <c:v>162.5</c:v>
                </c:pt>
                <c:pt idx="5">
                  <c:v>167.5</c:v>
                </c:pt>
                <c:pt idx="6">
                  <c:v>172.5</c:v>
                </c:pt>
                <c:pt idx="7">
                  <c:v>177.5</c:v>
                </c:pt>
                <c:pt idx="8">
                  <c:v>182.5</c:v>
                </c:pt>
                <c:pt idx="9">
                  <c:v>187.5</c:v>
                </c:pt>
                <c:pt idx="10">
                  <c:v>192.5</c:v>
                </c:pt>
                <c:pt idx="11">
                  <c:v>197.5</c:v>
                </c:pt>
                <c:pt idx="12">
                  <c:v>202.5</c:v>
                </c:pt>
              </c:numCache>
            </c:numRef>
          </c:xVal>
          <c:yVal>
            <c:numRef>
              <c:f>(AnnalyseEx3!$J$12,AnnalyseEx3!$J$14,AnnalyseEx3!$J$16,AnnalyseEx3!$J$18,AnnalyseEx3!$J$20,AnnalyseEx3!$J$22,AnnalyseEx3!$J$24,AnnalyseEx3!$J$26,AnnalyseEx3!$J$28,AnnalyseEx3!$J$30,AnnalyseEx3!$J$32,AnnalyseEx3!$J$34,AnnalyseEx3!$J$36)</c:f>
              <c:numCache>
                <c:formatCode>General</c:formatCode>
                <c:ptCount val="1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0.09</c:v>
                </c:pt>
                <c:pt idx="5">
                  <c:v>0.21</c:v>
                </c:pt>
                <c:pt idx="6">
                  <c:v>0.38</c:v>
                </c:pt>
                <c:pt idx="7">
                  <c:v>0.64</c:v>
                </c:pt>
                <c:pt idx="8">
                  <c:v>0.81</c:v>
                </c:pt>
                <c:pt idx="9">
                  <c:v>0.87000000000000011</c:v>
                </c:pt>
                <c:pt idx="10">
                  <c:v>0.95000000000000007</c:v>
                </c:pt>
                <c:pt idx="11">
                  <c:v>0.9900000000000001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1-4B8E-8234-8778943DF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708063"/>
        <c:axId val="986685599"/>
      </c:scatterChart>
      <c:valAx>
        <c:axId val="986708063"/>
        <c:scaling>
          <c:orientation val="minMax"/>
          <c:max val="202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6685599"/>
        <c:crosses val="autoZero"/>
        <c:crossBetween val="midCat"/>
      </c:valAx>
      <c:valAx>
        <c:axId val="9866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670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Histogramme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Fréquence</c:v>
          </c:tx>
          <c:spPr>
            <a:ln>
              <a:solidFill>
                <a:schemeClr val="bg1"/>
              </a:solidFill>
            </a:ln>
          </c:spPr>
          <c:invertIfNegative val="0"/>
          <c:cat>
            <c:strRef>
              <c:f>AnnalyseEx3!$D$70:$D$83</c:f>
              <c:strCache>
                <c:ptCount val="14"/>
                <c:pt idx="0">
                  <c:v>142,5</c:v>
                </c:pt>
                <c:pt idx="1">
                  <c:v>147,5</c:v>
                </c:pt>
                <c:pt idx="2">
                  <c:v>152,5</c:v>
                </c:pt>
                <c:pt idx="3">
                  <c:v>157,5</c:v>
                </c:pt>
                <c:pt idx="4">
                  <c:v>162,5</c:v>
                </c:pt>
                <c:pt idx="5">
                  <c:v>167,5</c:v>
                </c:pt>
                <c:pt idx="6">
                  <c:v>172,5</c:v>
                </c:pt>
                <c:pt idx="7">
                  <c:v>177,5</c:v>
                </c:pt>
                <c:pt idx="8">
                  <c:v>182,5</c:v>
                </c:pt>
                <c:pt idx="9">
                  <c:v>187,5</c:v>
                </c:pt>
                <c:pt idx="10">
                  <c:v>192,5</c:v>
                </c:pt>
                <c:pt idx="11">
                  <c:v>197,5</c:v>
                </c:pt>
                <c:pt idx="12">
                  <c:v>202,5</c:v>
                </c:pt>
                <c:pt idx="13">
                  <c:v>ou plus...</c:v>
                </c:pt>
              </c:strCache>
            </c:strRef>
          </c:cat>
          <c:val>
            <c:numRef>
              <c:f>AnnalyseEx3!$E$70:$E$83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12</c:v>
                </c:pt>
                <c:pt idx="6">
                  <c:v>17</c:v>
                </c:pt>
                <c:pt idx="7">
                  <c:v>26</c:v>
                </c:pt>
                <c:pt idx="8">
                  <c:v>17</c:v>
                </c:pt>
                <c:pt idx="9">
                  <c:v>6</c:v>
                </c:pt>
                <c:pt idx="10">
                  <c:v>8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E-4A38-A926-2C1895782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63440527"/>
        <c:axId val="1263448847"/>
      </c:barChart>
      <c:lineChart>
        <c:grouping val="standard"/>
        <c:varyColors val="0"/>
        <c:ser>
          <c:idx val="1"/>
          <c:order val="1"/>
          <c:tx>
            <c:v>% cumulé</c:v>
          </c:tx>
          <c:cat>
            <c:strRef>
              <c:f>AnnalyseEx3!$D$70:$D$83</c:f>
              <c:strCache>
                <c:ptCount val="14"/>
                <c:pt idx="0">
                  <c:v>142,5</c:v>
                </c:pt>
                <c:pt idx="1">
                  <c:v>147,5</c:v>
                </c:pt>
                <c:pt idx="2">
                  <c:v>152,5</c:v>
                </c:pt>
                <c:pt idx="3">
                  <c:v>157,5</c:v>
                </c:pt>
                <c:pt idx="4">
                  <c:v>162,5</c:v>
                </c:pt>
                <c:pt idx="5">
                  <c:v>167,5</c:v>
                </c:pt>
                <c:pt idx="6">
                  <c:v>172,5</c:v>
                </c:pt>
                <c:pt idx="7">
                  <c:v>177,5</c:v>
                </c:pt>
                <c:pt idx="8">
                  <c:v>182,5</c:v>
                </c:pt>
                <c:pt idx="9">
                  <c:v>187,5</c:v>
                </c:pt>
                <c:pt idx="10">
                  <c:v>192,5</c:v>
                </c:pt>
                <c:pt idx="11">
                  <c:v>197,5</c:v>
                </c:pt>
                <c:pt idx="12">
                  <c:v>202,5</c:v>
                </c:pt>
                <c:pt idx="13">
                  <c:v>ou plus...</c:v>
                </c:pt>
              </c:strCache>
            </c:strRef>
          </c:cat>
          <c:val>
            <c:numRef>
              <c:f>AnnalyseEx3!$F$70:$F$83</c:f>
              <c:numCache>
                <c:formatCode>0.00%</c:formatCode>
                <c:ptCount val="14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0.09</c:v>
                </c:pt>
                <c:pt idx="5">
                  <c:v>0.21</c:v>
                </c:pt>
                <c:pt idx="6">
                  <c:v>0.38</c:v>
                </c:pt>
                <c:pt idx="7">
                  <c:v>0.64</c:v>
                </c:pt>
                <c:pt idx="8">
                  <c:v>0.81</c:v>
                </c:pt>
                <c:pt idx="9">
                  <c:v>0.87</c:v>
                </c:pt>
                <c:pt idx="10">
                  <c:v>0.95</c:v>
                </c:pt>
                <c:pt idx="11">
                  <c:v>0.99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E-4A38-A926-2C1895782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3441359"/>
        <c:axId val="1263452175"/>
      </c:lineChart>
      <c:catAx>
        <c:axId val="1263440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3448847"/>
        <c:crosses val="autoZero"/>
        <c:auto val="1"/>
        <c:lblAlgn val="ctr"/>
        <c:lblOffset val="100"/>
        <c:noMultiLvlLbl val="0"/>
      </c:catAx>
      <c:valAx>
        <c:axId val="12634488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Effectifs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3440527"/>
        <c:crosses val="autoZero"/>
        <c:crossBetween val="between"/>
      </c:valAx>
      <c:valAx>
        <c:axId val="126345217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263441359"/>
        <c:crosses val="max"/>
        <c:crossBetween val="between"/>
      </c:valAx>
      <c:catAx>
        <c:axId val="12634413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3452175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Y estimé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DonnéesEx4!$B$2:$B$11</c:f>
              <c:numCache>
                <c:formatCode>General</c:formatCode>
                <c:ptCount val="10"/>
                <c:pt idx="0">
                  <c:v>72</c:v>
                </c:pt>
                <c:pt idx="1">
                  <c:v>60</c:v>
                </c:pt>
                <c:pt idx="2">
                  <c:v>68</c:v>
                </c:pt>
                <c:pt idx="3">
                  <c:v>66</c:v>
                </c:pt>
                <c:pt idx="4">
                  <c:v>64</c:v>
                </c:pt>
                <c:pt idx="5">
                  <c:v>62</c:v>
                </c:pt>
                <c:pt idx="6">
                  <c:v>64</c:v>
                </c:pt>
                <c:pt idx="7">
                  <c:v>70</c:v>
                </c:pt>
                <c:pt idx="8">
                  <c:v>62</c:v>
                </c:pt>
                <c:pt idx="9">
                  <c:v>74</c:v>
                </c:pt>
              </c:numCache>
            </c:numRef>
          </c:xVal>
          <c:yVal>
            <c:numRef>
              <c:f>DonnéesEx4!$D$2:$D$11</c:f>
              <c:numCache>
                <c:formatCode>0.000</c:formatCode>
                <c:ptCount val="10"/>
                <c:pt idx="0">
                  <c:v>91.441717791411037</c:v>
                </c:pt>
                <c:pt idx="1">
                  <c:v>68.803680981595093</c:v>
                </c:pt>
                <c:pt idx="2">
                  <c:v>83.895705521472394</c:v>
                </c:pt>
                <c:pt idx="3">
                  <c:v>80.122699386503058</c:v>
                </c:pt>
                <c:pt idx="4">
                  <c:v>76.349693251533736</c:v>
                </c:pt>
                <c:pt idx="5">
                  <c:v>72.576687116564415</c:v>
                </c:pt>
                <c:pt idx="6">
                  <c:v>76.349693251533736</c:v>
                </c:pt>
                <c:pt idx="7">
                  <c:v>87.668711656441701</c:v>
                </c:pt>
                <c:pt idx="8">
                  <c:v>72.576687116564415</c:v>
                </c:pt>
                <c:pt idx="9">
                  <c:v>95.214723926380373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81-4B25-BA95-4DF398115CD3}"/>
            </c:ext>
          </c:extLst>
        </c:ser>
        <c:ser>
          <c:idx val="0"/>
          <c:order val="1"/>
          <c:tx>
            <c:v>X éstimé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DonnéesEx4!$E$2:$E$11</c:f>
              <c:numCache>
                <c:formatCode>0.000</c:formatCode>
                <c:ptCount val="10"/>
                <c:pt idx="0">
                  <c:v>70.737864077669911</c:v>
                </c:pt>
                <c:pt idx="1">
                  <c:v>61.184466019417478</c:v>
                </c:pt>
                <c:pt idx="2">
                  <c:v>65.961165048543691</c:v>
                </c:pt>
                <c:pt idx="3">
                  <c:v>65.961165048543691</c:v>
                </c:pt>
                <c:pt idx="4">
                  <c:v>63.572815533980588</c:v>
                </c:pt>
                <c:pt idx="5">
                  <c:v>63.572815533980588</c:v>
                </c:pt>
                <c:pt idx="6">
                  <c:v>65.961165048543691</c:v>
                </c:pt>
                <c:pt idx="7">
                  <c:v>68.349514563106794</c:v>
                </c:pt>
                <c:pt idx="8">
                  <c:v>61.184466019417478</c:v>
                </c:pt>
                <c:pt idx="9">
                  <c:v>75.514563106796118</c:v>
                </c:pt>
              </c:numCache>
            </c:numRef>
          </c:xVal>
          <c:yVal>
            <c:numRef>
              <c:f>DonnéesEx4!$C$2:$C$11</c:f>
              <c:numCache>
                <c:formatCode>General</c:formatCode>
                <c:ptCount val="10"/>
                <c:pt idx="0">
                  <c:v>90</c:v>
                </c:pt>
                <c:pt idx="1">
                  <c:v>70</c:v>
                </c:pt>
                <c:pt idx="2">
                  <c:v>80</c:v>
                </c:pt>
                <c:pt idx="3">
                  <c:v>80</c:v>
                </c:pt>
                <c:pt idx="4">
                  <c:v>75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70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81-4B25-BA95-4DF398115CD3}"/>
            </c:ext>
          </c:extLst>
        </c:ser>
        <c:ser>
          <c:idx val="2"/>
          <c:order val="2"/>
          <c:tx>
            <c:v>Points expérimentaux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DonnéesEx4!$B$2:$B$11</c:f>
              <c:numCache>
                <c:formatCode>General</c:formatCode>
                <c:ptCount val="10"/>
                <c:pt idx="0">
                  <c:v>72</c:v>
                </c:pt>
                <c:pt idx="1">
                  <c:v>60</c:v>
                </c:pt>
                <c:pt idx="2">
                  <c:v>68</c:v>
                </c:pt>
                <c:pt idx="3">
                  <c:v>66</c:v>
                </c:pt>
                <c:pt idx="4">
                  <c:v>64</c:v>
                </c:pt>
                <c:pt idx="5">
                  <c:v>62</c:v>
                </c:pt>
                <c:pt idx="6">
                  <c:v>64</c:v>
                </c:pt>
                <c:pt idx="7">
                  <c:v>70</c:v>
                </c:pt>
                <c:pt idx="8">
                  <c:v>62</c:v>
                </c:pt>
                <c:pt idx="9">
                  <c:v>74</c:v>
                </c:pt>
              </c:numCache>
            </c:numRef>
          </c:xVal>
          <c:yVal>
            <c:numRef>
              <c:f>DonnéesEx4!$C$2:$C$11</c:f>
              <c:numCache>
                <c:formatCode>General</c:formatCode>
                <c:ptCount val="10"/>
                <c:pt idx="0">
                  <c:v>90</c:v>
                </c:pt>
                <c:pt idx="1">
                  <c:v>70</c:v>
                </c:pt>
                <c:pt idx="2">
                  <c:v>80</c:v>
                </c:pt>
                <c:pt idx="3">
                  <c:v>80</c:v>
                </c:pt>
                <c:pt idx="4">
                  <c:v>75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70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81-4B25-BA95-4DF398115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086959"/>
        <c:axId val="990085711"/>
      </c:scatterChart>
      <c:valAx>
        <c:axId val="990086959"/>
        <c:scaling>
          <c:orientation val="minMax"/>
          <c:max val="75"/>
          <c:min val="5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Teneur en carbon (pour 10000)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0085711"/>
        <c:crosses val="autoZero"/>
        <c:crossBetween val="midCat"/>
      </c:valAx>
      <c:valAx>
        <c:axId val="990085711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de rupture (en 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0086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Format de l'axe : échelle logarithmique</a:t>
            </a:r>
          </a:p>
        </c:rich>
      </c:tx>
      <c:layout>
        <c:manualLayout>
          <c:xMode val="edge"/>
          <c:yMode val="edge"/>
          <c:x val="0.21643857189084201"/>
          <c:y val="3.80952380952380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849422272403"/>
          <c:y val="0.214285589724243"/>
          <c:w val="0.82739809041707002"/>
          <c:h val="0.62857106319111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DonnéesEx5!$A$2:$A$7</c:f>
              <c:numCache>
                <c:formatCode>General</c:formatCode>
                <c:ptCount val="6"/>
                <c:pt idx="0">
                  <c:v>54.3</c:v>
                </c:pt>
                <c:pt idx="1">
                  <c:v>61.8</c:v>
                </c:pt>
                <c:pt idx="2">
                  <c:v>72.400000000000006</c:v>
                </c:pt>
                <c:pt idx="3">
                  <c:v>88.7</c:v>
                </c:pt>
                <c:pt idx="4">
                  <c:v>118.6</c:v>
                </c:pt>
                <c:pt idx="5">
                  <c:v>194</c:v>
                </c:pt>
              </c:numCache>
            </c:numRef>
          </c:xVal>
          <c:yVal>
            <c:numRef>
              <c:f>DonnéesEx5!$B$2:$B$7</c:f>
              <c:numCache>
                <c:formatCode>General</c:formatCode>
                <c:ptCount val="6"/>
                <c:pt idx="0">
                  <c:v>61.2</c:v>
                </c:pt>
                <c:pt idx="1">
                  <c:v>49.5</c:v>
                </c:pt>
                <c:pt idx="2">
                  <c:v>37.6</c:v>
                </c:pt>
                <c:pt idx="3">
                  <c:v>28.4</c:v>
                </c:pt>
                <c:pt idx="4">
                  <c:v>19.2</c:v>
                </c:pt>
                <c:pt idx="5">
                  <c:v>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2C-4556-BEA8-BF74E962A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1406800"/>
        <c:axId val="-1881400912"/>
      </c:scatterChart>
      <c:valAx>
        <c:axId val="-1881406800"/>
        <c:scaling>
          <c:logBase val="10"/>
          <c:orientation val="minMax"/>
          <c:max val="1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-1881400912"/>
        <c:crosses val="autoZero"/>
        <c:crossBetween val="midCat"/>
      </c:valAx>
      <c:valAx>
        <c:axId val="-1881400912"/>
        <c:scaling>
          <c:logBase val="10"/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-1881406800"/>
        <c:crosses val="autoZero"/>
        <c:crossBetween val="midCat"/>
        <c:majorUnit val="10"/>
        <c:minorUnit val="1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/>
    <c:pageMargins b="0.75" l="0.7" r="0.7" t="0.75" header="0.4921259845" footer="0.492125984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 en</a:t>
            </a:r>
            <a:r>
              <a:rPr lang="fr-FR" baseline="0"/>
              <a:t> fonction de V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DonnéesEx5!$A$2:$A$7</c:f>
              <c:numCache>
                <c:formatCode>General</c:formatCode>
                <c:ptCount val="6"/>
                <c:pt idx="0">
                  <c:v>54.3</c:v>
                </c:pt>
                <c:pt idx="1">
                  <c:v>61.8</c:v>
                </c:pt>
                <c:pt idx="2">
                  <c:v>72.400000000000006</c:v>
                </c:pt>
                <c:pt idx="3">
                  <c:v>88.7</c:v>
                </c:pt>
                <c:pt idx="4">
                  <c:v>118.6</c:v>
                </c:pt>
                <c:pt idx="5">
                  <c:v>194</c:v>
                </c:pt>
              </c:numCache>
            </c:numRef>
          </c:xVal>
          <c:yVal>
            <c:numRef>
              <c:f>DonnéesEx5!$B$2:$B$7</c:f>
              <c:numCache>
                <c:formatCode>General</c:formatCode>
                <c:ptCount val="6"/>
                <c:pt idx="0">
                  <c:v>61.2</c:v>
                </c:pt>
                <c:pt idx="1">
                  <c:v>49.5</c:v>
                </c:pt>
                <c:pt idx="2">
                  <c:v>37.6</c:v>
                </c:pt>
                <c:pt idx="3">
                  <c:v>28.4</c:v>
                </c:pt>
                <c:pt idx="4">
                  <c:v>19.2</c:v>
                </c:pt>
                <c:pt idx="5">
                  <c:v>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02-4BAF-ACE2-920CF8D25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299424"/>
        <c:axId val="593289024"/>
      </c:scatterChart>
      <c:valAx>
        <c:axId val="59329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289024"/>
        <c:crosses val="autoZero"/>
        <c:crossBetween val="midCat"/>
      </c:valAx>
      <c:valAx>
        <c:axId val="59328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29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ln(P)</a:t>
            </a:r>
            <a:r>
              <a:rPr lang="fr-FR" baseline="0"/>
              <a:t> en fonction de ln(V)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607830271216097E-2"/>
                  <c:y val="-0.420313867016622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DonnéesEx5!$C$2:$C$7</c:f>
              <c:numCache>
                <c:formatCode>0.000</c:formatCode>
                <c:ptCount val="6"/>
                <c:pt idx="0">
                  <c:v>3.9945242269398897</c:v>
                </c:pt>
                <c:pt idx="1">
                  <c:v>4.1239033644636454</c:v>
                </c:pt>
                <c:pt idx="2">
                  <c:v>4.282206299391671</c:v>
                </c:pt>
                <c:pt idx="3">
                  <c:v>4.4852598893155342</c:v>
                </c:pt>
                <c:pt idx="4">
                  <c:v>4.7757564865636253</c:v>
                </c:pt>
                <c:pt idx="5">
                  <c:v>5.2678581590633282</c:v>
                </c:pt>
              </c:numCache>
            </c:numRef>
          </c:xVal>
          <c:yVal>
            <c:numRef>
              <c:f>DonnéesEx5!$D$2:$D$7</c:f>
              <c:numCache>
                <c:formatCode>0.000</c:formatCode>
                <c:ptCount val="6"/>
                <c:pt idx="0">
                  <c:v>4.1141471895182802</c:v>
                </c:pt>
                <c:pt idx="1">
                  <c:v>3.9019726695746448</c:v>
                </c:pt>
                <c:pt idx="2">
                  <c:v>3.6270040503958487</c:v>
                </c:pt>
                <c:pt idx="3">
                  <c:v>3.3463891451671604</c:v>
                </c:pt>
                <c:pt idx="4">
                  <c:v>2.954910279033736</c:v>
                </c:pt>
                <c:pt idx="5">
                  <c:v>2.3125354238472138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91-4CF9-B73B-17948DBE3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813568"/>
        <c:axId val="1178826464"/>
      </c:scatterChart>
      <c:valAx>
        <c:axId val="1178813568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8826464"/>
        <c:crosses val="autoZero"/>
        <c:crossBetween val="midCat"/>
      </c:valAx>
      <c:valAx>
        <c:axId val="1178826464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881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Boite à moustache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Boite à moustache</a:t>
          </a:r>
        </a:p>
      </cx:txPr>
    </cx:title>
    <cx:plotArea>
      <cx:plotAreaRegion>
        <cx:series layoutId="boxWhisker" uniqueId="{47367E67-AAF4-4F0C-95BA-2CF61D2200E6}"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205" min="14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Avec mise en classe auto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Avec mise en classe auto</a:t>
          </a:r>
        </a:p>
      </cx:txPr>
    </cx:title>
    <cx:plotArea>
      <cx:plotAreaRegion>
        <cx:series layoutId="clusteredColumn" uniqueId="{31B50BC0-84BA-4E81-8B5A-DCBC9535F87F}">
          <cx:dataLabels pos="inEnd">
            <cx:visibility seriesName="0" categoryName="0" value="1"/>
          </cx:dataLabels>
          <cx:dataId val="0"/>
          <cx:layoutPr>
            <cx:binning intervalClosed="r">
              <cx:binCount val="12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8.xml"/><Relationship Id="rId4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548640</xdr:colOff>
      <xdr:row>0</xdr:row>
      <xdr:rowOff>72390</xdr:rowOff>
    </xdr:from>
    <xdr:to>
      <xdr:col>13</xdr:col>
      <xdr:colOff>365760</xdr:colOff>
      <xdr:row>15</xdr:row>
      <xdr:rowOff>72390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849A693-7425-454C-B570-2858AC673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518160</xdr:colOff>
      <xdr:row>11</xdr:row>
      <xdr:rowOff>148590</xdr:rowOff>
    </xdr:from>
    <xdr:to>
      <xdr:col>7</xdr:col>
      <xdr:colOff>243840</xdr:colOff>
      <xdr:row>28</xdr:row>
      <xdr:rowOff>60960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5D49C6-B853-4C4D-979E-9757F6292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275666</xdr:colOff>
      <xdr:row>9</xdr:row>
      <xdr:rowOff>44824</xdr:rowOff>
    </xdr:from>
    <xdr:to>
      <xdr:col>9</xdr:col>
      <xdr:colOff>181985</xdr:colOff>
      <xdr:row>19</xdr:row>
      <xdr:rowOff>21740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847F32E-2B25-47C3-8CCC-C45D696CD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336176</xdr:colOff>
      <xdr:row>20</xdr:row>
      <xdr:rowOff>160244</xdr:rowOff>
    </xdr:from>
    <xdr:to>
      <xdr:col>8</xdr:col>
      <xdr:colOff>277009</xdr:colOff>
      <xdr:row>29</xdr:row>
      <xdr:rowOff>171674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DF448FE-D957-4FA6-9A05-299C997DA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332591</xdr:colOff>
      <xdr:row>31</xdr:row>
      <xdr:rowOff>61632</xdr:rowOff>
    </xdr:from>
    <xdr:to>
      <xdr:col>8</xdr:col>
      <xdr:colOff>303904</xdr:colOff>
      <xdr:row>42</xdr:row>
      <xdr:rowOff>95921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70BECBC1-997B-4FF6-8899-6105854BB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1151965</xdr:colOff>
      <xdr:row>21</xdr:row>
      <xdr:rowOff>8965</xdr:rowOff>
    </xdr:from>
    <xdr:to>
      <xdr:col>2</xdr:col>
      <xdr:colOff>2290483</xdr:colOff>
      <xdr:row>36</xdr:row>
      <xdr:rowOff>62753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A247552-2A2F-43AF-916D-9863EC985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972670</xdr:colOff>
      <xdr:row>39</xdr:row>
      <xdr:rowOff>116542</xdr:rowOff>
    </xdr:from>
    <xdr:to>
      <xdr:col>2</xdr:col>
      <xdr:colOff>2111188</xdr:colOff>
      <xdr:row>54</xdr:row>
      <xdr:rowOff>170330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DD75C4E5-D586-4CC1-A7CF-70EC99DBC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914400</xdr:colOff>
      <xdr:row>56</xdr:row>
      <xdr:rowOff>170329</xdr:rowOff>
    </xdr:from>
    <xdr:to>
      <xdr:col>2</xdr:col>
      <xdr:colOff>2052918</xdr:colOff>
      <xdr:row>72</xdr:row>
      <xdr:rowOff>44823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FDE394D8-855E-49B2-BA5F-81392741ED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10731649"/>
              <a:ext cx="4575138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0</xdr:col>
      <xdr:colOff>869577</xdr:colOff>
      <xdr:row>74</xdr:row>
      <xdr:rowOff>0</xdr:rowOff>
    </xdr:from>
    <xdr:to>
      <xdr:col>2</xdr:col>
      <xdr:colOff>2008095</xdr:colOff>
      <xdr:row>89</xdr:row>
      <xdr:rowOff>53788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6279C57B-05DF-4549-949C-81748E9E8B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577" y="13853160"/>
              <a:ext cx="4575138" cy="2796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51994</xdr:colOff>
      <xdr:row>84</xdr:row>
      <xdr:rowOff>176603</xdr:rowOff>
    </xdr:from>
    <xdr:to>
      <xdr:col>7</xdr:col>
      <xdr:colOff>528918</xdr:colOff>
      <xdr:row>105</xdr:row>
      <xdr:rowOff>8964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8B5A1D5B-0EAB-48D2-9CA1-DC104ADC4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6</xdr:col>
      <xdr:colOff>2209800</xdr:colOff>
      <xdr:row>17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27B5839-6B0D-40EF-BA6A-DDC10481B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114300</xdr:rowOff>
    </xdr:from>
    <xdr:to>
      <xdr:col>4</xdr:col>
      <xdr:colOff>889000</xdr:colOff>
      <xdr:row>60</xdr:row>
      <xdr:rowOff>25400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B748C24-2D74-44DC-B69B-C5AB1253C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2</xdr:row>
      <xdr:rowOff>175260</xdr:rowOff>
    </xdr:from>
    <xdr:to>
      <xdr:col>6</xdr:col>
      <xdr:colOff>358140</xdr:colOff>
      <xdr:row>17</xdr:row>
      <xdr:rowOff>175260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449B185-F201-4CC6-A18F-B6D8A9F06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541020</xdr:colOff>
      <xdr:row>2</xdr:row>
      <xdr:rowOff>167640</xdr:rowOff>
    </xdr:from>
    <xdr:to>
      <xdr:col>12</xdr:col>
      <xdr:colOff>358140</xdr:colOff>
      <xdr:row>17</xdr:row>
      <xdr:rowOff>167640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EA6FC3A-11C5-4B39-91EE-735F2D915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uem Juliette" refreshedDate="44207.647057523151" createdVersion="6" refreshedVersion="6" minRefreshableVersion="3" recordCount="28" xr:uid="{D04DDE00-1A67-41DB-A6E0-E8414FCC99D9}">
  <cacheSource type="worksheet">
    <worksheetSource ref="A1:A29" sheet="DonnéesEx1"/>
  </cacheSource>
  <cacheFields count="1">
    <cacheField name="Sport prefere" numFmtId="49">
      <sharedItems count="8">
        <s v="Tennis"/>
        <s v="Football"/>
        <s v="Ping-pong"/>
        <s v="Basket"/>
        <s v="VTT"/>
        <s v="Aucun"/>
        <s v="Natation"/>
        <s v="Sk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uem Juliette" refreshedDate="44208.469608912033" createdVersion="6" refreshedVersion="6" minRefreshableVersion="3" recordCount="50" xr:uid="{4B042C8C-7B9B-46C1-9A8D-934055F8C389}">
  <cacheSource type="worksheet">
    <worksheetSource ref="A1:C51" sheet="DonnéesEx2"/>
  </cacheSource>
  <cacheFields count="3">
    <cacheField name="Numero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Nb pieces deffectueuses" numFmtId="0">
      <sharedItems containsSemiMixedTypes="0" containsString="0" containsNumber="1" containsInteger="1" minValue="0" maxValue="6" count="7">
        <n v="2"/>
        <n v="3"/>
        <n v="0"/>
        <n v="1"/>
        <n v="5"/>
        <n v="4"/>
        <n v="6"/>
      </sharedItems>
    </cacheField>
    <cacheField name="Jours" numFmtId="0">
      <sharedItems count="6">
        <s v="L"/>
        <s v="M"/>
        <s v="Me"/>
        <s v="J"/>
        <s v="V"/>
        <s v="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</r>
  <r>
    <x v="1"/>
  </r>
  <r>
    <x v="2"/>
  </r>
  <r>
    <x v="1"/>
  </r>
  <r>
    <x v="1"/>
  </r>
  <r>
    <x v="3"/>
  </r>
  <r>
    <x v="1"/>
  </r>
  <r>
    <x v="1"/>
  </r>
  <r>
    <x v="0"/>
  </r>
  <r>
    <x v="4"/>
  </r>
  <r>
    <x v="5"/>
  </r>
  <r>
    <x v="4"/>
  </r>
  <r>
    <x v="4"/>
  </r>
  <r>
    <x v="0"/>
  </r>
  <r>
    <x v="6"/>
  </r>
  <r>
    <x v="0"/>
  </r>
  <r>
    <x v="7"/>
  </r>
  <r>
    <x v="0"/>
  </r>
  <r>
    <x v="2"/>
  </r>
  <r>
    <x v="6"/>
  </r>
  <r>
    <x v="1"/>
  </r>
  <r>
    <x v="4"/>
  </r>
  <r>
    <x v="3"/>
  </r>
  <r>
    <x v="4"/>
  </r>
  <r>
    <x v="1"/>
  </r>
  <r>
    <x v="5"/>
  </r>
  <r>
    <x v="2"/>
  </r>
  <r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</r>
  <r>
    <x v="1"/>
    <x v="1"/>
    <x v="0"/>
  </r>
  <r>
    <x v="2"/>
    <x v="1"/>
    <x v="0"/>
  </r>
  <r>
    <x v="3"/>
    <x v="2"/>
    <x v="0"/>
  </r>
  <r>
    <x v="4"/>
    <x v="0"/>
    <x v="0"/>
  </r>
  <r>
    <x v="5"/>
    <x v="3"/>
    <x v="0"/>
  </r>
  <r>
    <x v="6"/>
    <x v="3"/>
    <x v="0"/>
  </r>
  <r>
    <x v="7"/>
    <x v="2"/>
    <x v="0"/>
  </r>
  <r>
    <x v="8"/>
    <x v="4"/>
    <x v="0"/>
  </r>
  <r>
    <x v="9"/>
    <x v="0"/>
    <x v="1"/>
  </r>
  <r>
    <x v="10"/>
    <x v="1"/>
    <x v="1"/>
  </r>
  <r>
    <x v="11"/>
    <x v="1"/>
    <x v="1"/>
  </r>
  <r>
    <x v="12"/>
    <x v="0"/>
    <x v="1"/>
  </r>
  <r>
    <x v="13"/>
    <x v="3"/>
    <x v="1"/>
  </r>
  <r>
    <x v="14"/>
    <x v="0"/>
    <x v="1"/>
  </r>
  <r>
    <x v="15"/>
    <x v="5"/>
    <x v="1"/>
  </r>
  <r>
    <x v="16"/>
    <x v="2"/>
    <x v="1"/>
  </r>
  <r>
    <x v="17"/>
    <x v="1"/>
    <x v="1"/>
  </r>
  <r>
    <x v="18"/>
    <x v="3"/>
    <x v="2"/>
  </r>
  <r>
    <x v="19"/>
    <x v="0"/>
    <x v="2"/>
  </r>
  <r>
    <x v="20"/>
    <x v="0"/>
    <x v="2"/>
  </r>
  <r>
    <x v="21"/>
    <x v="5"/>
    <x v="2"/>
  </r>
  <r>
    <x v="22"/>
    <x v="2"/>
    <x v="2"/>
  </r>
  <r>
    <x v="23"/>
    <x v="3"/>
    <x v="2"/>
  </r>
  <r>
    <x v="24"/>
    <x v="1"/>
    <x v="2"/>
  </r>
  <r>
    <x v="25"/>
    <x v="0"/>
    <x v="2"/>
  </r>
  <r>
    <x v="26"/>
    <x v="1"/>
    <x v="2"/>
  </r>
  <r>
    <x v="27"/>
    <x v="0"/>
    <x v="3"/>
  </r>
  <r>
    <x v="28"/>
    <x v="3"/>
    <x v="3"/>
  </r>
  <r>
    <x v="29"/>
    <x v="0"/>
    <x v="3"/>
  </r>
  <r>
    <x v="30"/>
    <x v="1"/>
    <x v="3"/>
  </r>
  <r>
    <x v="31"/>
    <x v="0"/>
    <x v="3"/>
  </r>
  <r>
    <x v="32"/>
    <x v="0"/>
    <x v="3"/>
  </r>
  <r>
    <x v="33"/>
    <x v="5"/>
    <x v="3"/>
  </r>
  <r>
    <x v="34"/>
    <x v="6"/>
    <x v="3"/>
  </r>
  <r>
    <x v="35"/>
    <x v="2"/>
    <x v="3"/>
  </r>
  <r>
    <x v="36"/>
    <x v="3"/>
    <x v="4"/>
  </r>
  <r>
    <x v="37"/>
    <x v="3"/>
    <x v="4"/>
  </r>
  <r>
    <x v="38"/>
    <x v="3"/>
    <x v="4"/>
  </r>
  <r>
    <x v="39"/>
    <x v="0"/>
    <x v="4"/>
  </r>
  <r>
    <x v="40"/>
    <x v="0"/>
    <x v="4"/>
  </r>
  <r>
    <x v="41"/>
    <x v="2"/>
    <x v="4"/>
  </r>
  <r>
    <x v="42"/>
    <x v="3"/>
    <x v="4"/>
  </r>
  <r>
    <x v="43"/>
    <x v="3"/>
    <x v="4"/>
  </r>
  <r>
    <x v="44"/>
    <x v="4"/>
    <x v="4"/>
  </r>
  <r>
    <x v="45"/>
    <x v="1"/>
    <x v="5"/>
  </r>
  <r>
    <x v="46"/>
    <x v="5"/>
    <x v="5"/>
  </r>
  <r>
    <x v="47"/>
    <x v="3"/>
    <x v="5"/>
  </r>
  <r>
    <x v="48"/>
    <x v="2"/>
    <x v="5"/>
  </r>
  <r>
    <x v="49"/>
    <x v="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9C34F-403E-4790-830E-323D1F30A01B}" name="Tableau croisé dynamique10" cacheId="0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6" indent="0" compact="0" compactData="0" multipleFieldFilters="0" chartFormat="13">
  <location ref="B3:C11" firstHeaderRow="1" firstDataRow="1" firstDataCol="1"/>
  <pivotFields count="1">
    <pivotField axis="axisRow" dataField="1" compact="0" outline="0" showAll="0" sortType="ascending" defaultSubtotal="0">
      <items count="8">
        <item x="5"/>
        <item x="3"/>
        <item x="1"/>
        <item x="6"/>
        <item x="2"/>
        <item x="7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Nombre de Sport prefere" fld="0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CCA5B-4EC3-47B3-A010-9EEADD16ED6B}" name="Tableau croisé dynamique3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B23:C31" firstHeaderRow="1" firstDataRow="1" firstDataCol="1"/>
  <pivotFields count="3">
    <pivotField dataField="1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Row" showAll="0">
      <items count="8">
        <item x="2"/>
        <item x="3"/>
        <item x="0"/>
        <item x="1"/>
        <item x="5"/>
        <item x="4"/>
        <item x="6"/>
        <item t="default"/>
      </items>
    </pivotField>
    <pivotField showAll="0">
      <items count="7">
        <item x="3"/>
        <item x="0"/>
        <item x="1"/>
        <item x="2"/>
        <item x="5"/>
        <item x="4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Nombre de Numero" fld="0" subtotal="count" baseField="1" baseItem="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55B09-49DC-4B6C-A2FB-4734DD298957}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B11:C18" firstHeaderRow="1" firstDataRow="1" firstDataCol="1"/>
  <pivotFields count="3">
    <pivotField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>
      <items count="8">
        <item x="2"/>
        <item x="3"/>
        <item x="0"/>
        <item x="1"/>
        <item x="5"/>
        <item x="4"/>
        <item x="6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me de Nb pieces deffectueus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0391-16CC-40E0-A4F9-CC6388F95B5B}">
  <dimension ref="A1:A29"/>
  <sheetViews>
    <sheetView workbookViewId="0">
      <selection activeCell="F10" sqref="F10"/>
    </sheetView>
  </sheetViews>
  <sheetFormatPr baseColWidth="10" defaultRowHeight="14.4"/>
  <cols>
    <col min="3" max="3" width="15.33203125" bestFit="1" customWidth="1"/>
    <col min="4" max="4" width="10" bestFit="1" customWidth="1"/>
  </cols>
  <sheetData>
    <row r="1" spans="1:1">
      <c r="A1" t="s">
        <v>10</v>
      </c>
    </row>
    <row r="2" spans="1:1">
      <c r="A2" s="1" t="str" cm="1">
        <f t="array" aca="1" ref="A2:A29" ca="1">TRANSPOSE(A2:AB2)</f>
        <v>Tennis</v>
      </c>
    </row>
    <row r="3" spans="1:1">
      <c r="A3" s="1" t="str">
        <f ca="1"/>
        <v>Football</v>
      </c>
    </row>
    <row r="4" spans="1:1">
      <c r="A4" s="1" t="str">
        <f ca="1"/>
        <v>Ping-pong</v>
      </c>
    </row>
    <row r="5" spans="1:1">
      <c r="A5" s="1" t="str">
        <f ca="1"/>
        <v>Football</v>
      </c>
    </row>
    <row r="6" spans="1:1">
      <c r="A6" s="1" t="str">
        <f ca="1"/>
        <v>Football</v>
      </c>
    </row>
    <row r="7" spans="1:1">
      <c r="A7" s="1" t="str">
        <f ca="1"/>
        <v>Basket</v>
      </c>
    </row>
    <row r="8" spans="1:1">
      <c r="A8" s="1" t="str">
        <f ca="1"/>
        <v>Football</v>
      </c>
    </row>
    <row r="9" spans="1:1">
      <c r="A9" s="1" t="str">
        <f ca="1"/>
        <v>Football</v>
      </c>
    </row>
    <row r="10" spans="1:1">
      <c r="A10" s="1" t="str">
        <f ca="1"/>
        <v>Tennis</v>
      </c>
    </row>
    <row r="11" spans="1:1">
      <c r="A11" s="1" t="str">
        <f ca="1"/>
        <v>VTT</v>
      </c>
    </row>
    <row r="12" spans="1:1">
      <c r="A12" s="1" t="str">
        <f ca="1"/>
        <v>Aucun</v>
      </c>
    </row>
    <row r="13" spans="1:1">
      <c r="A13" s="1" t="str">
        <f ca="1"/>
        <v>VTT</v>
      </c>
    </row>
    <row r="14" spans="1:1">
      <c r="A14" s="1" t="str">
        <f ca="1"/>
        <v>VTT</v>
      </c>
    </row>
    <row r="15" spans="1:1">
      <c r="A15" s="1" t="str">
        <f ca="1"/>
        <v>Tennis</v>
      </c>
    </row>
    <row r="16" spans="1:1">
      <c r="A16" s="1" t="str">
        <f ca="1"/>
        <v>Natation</v>
      </c>
    </row>
    <row r="17" spans="1:1">
      <c r="A17" s="1" t="str">
        <f ca="1"/>
        <v>Tennis</v>
      </c>
    </row>
    <row r="18" spans="1:1">
      <c r="A18" s="1" t="str">
        <f ca="1"/>
        <v>Ski</v>
      </c>
    </row>
    <row r="19" spans="1:1">
      <c r="A19" s="1" t="str">
        <f ca="1"/>
        <v>Tennis</v>
      </c>
    </row>
    <row r="20" spans="1:1">
      <c r="A20" s="1" t="str">
        <f ca="1"/>
        <v>Ping-pong</v>
      </c>
    </row>
    <row r="21" spans="1:1">
      <c r="A21" s="1" t="str">
        <f ca="1"/>
        <v>Natation</v>
      </c>
    </row>
    <row r="22" spans="1:1">
      <c r="A22" s="1" t="str">
        <f ca="1"/>
        <v>Football</v>
      </c>
    </row>
    <row r="23" spans="1:1">
      <c r="A23" s="1" t="str">
        <f ca="1"/>
        <v>VTT</v>
      </c>
    </row>
    <row r="24" spans="1:1">
      <c r="A24" s="1" t="str">
        <f ca="1"/>
        <v>Basket</v>
      </c>
    </row>
    <row r="25" spans="1:1">
      <c r="A25" s="1" t="str">
        <f ca="1"/>
        <v>VTT</v>
      </c>
    </row>
    <row r="26" spans="1:1">
      <c r="A26" s="1" t="str">
        <f ca="1"/>
        <v>Football</v>
      </c>
    </row>
    <row r="27" spans="1:1">
      <c r="A27" s="1" t="str">
        <f ca="1"/>
        <v>Aucun</v>
      </c>
    </row>
    <row r="28" spans="1:1">
      <c r="A28" s="1" t="str">
        <f ca="1"/>
        <v>Ping-pong</v>
      </c>
    </row>
    <row r="29" spans="1:1">
      <c r="A29" s="1" t="str">
        <f ca="1"/>
        <v>VTT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0942-EACC-4986-AD89-B16F5595203A}">
  <dimension ref="B3:J22"/>
  <sheetViews>
    <sheetView workbookViewId="0">
      <selection activeCell="K26" sqref="K26"/>
    </sheetView>
  </sheetViews>
  <sheetFormatPr baseColWidth="10" defaultRowHeight="14.4"/>
  <cols>
    <col min="1" max="1" width="2" customWidth="1"/>
    <col min="2" max="2" width="14.33203125" bestFit="1" customWidth="1"/>
    <col min="3" max="3" width="22.21875" bestFit="1" customWidth="1"/>
    <col min="5" max="5" width="15.33203125" bestFit="1" customWidth="1"/>
    <col min="6" max="6" width="10" bestFit="1" customWidth="1"/>
    <col min="9" max="9" width="19.77734375" bestFit="1" customWidth="1"/>
    <col min="10" max="10" width="10.6640625" bestFit="1" customWidth="1"/>
  </cols>
  <sheetData>
    <row r="3" spans="2:6">
      <c r="B3" s="2" t="s">
        <v>10</v>
      </c>
      <c r="C3" t="s">
        <v>11</v>
      </c>
      <c r="E3" t="s">
        <v>8</v>
      </c>
      <c r="F3" t="s">
        <v>14</v>
      </c>
    </row>
    <row r="4" spans="2:6">
      <c r="B4" t="s">
        <v>5</v>
      </c>
      <c r="C4" s="3">
        <v>2</v>
      </c>
      <c r="E4" t="s">
        <v>9</v>
      </c>
      <c r="F4" t="s">
        <v>15</v>
      </c>
    </row>
    <row r="5" spans="2:6">
      <c r="B5" t="s">
        <v>3</v>
      </c>
      <c r="C5" s="3">
        <v>2</v>
      </c>
      <c r="E5" t="s">
        <v>12</v>
      </c>
      <c r="F5" t="s">
        <v>16</v>
      </c>
    </row>
    <row r="6" spans="2:6">
      <c r="B6" t="s">
        <v>1</v>
      </c>
      <c r="C6" s="3">
        <v>7</v>
      </c>
      <c r="E6" t="s">
        <v>13</v>
      </c>
      <c r="F6" t="s">
        <v>17</v>
      </c>
    </row>
    <row r="7" spans="2:6">
      <c r="B7" t="s">
        <v>6</v>
      </c>
      <c r="C7" s="3">
        <v>2</v>
      </c>
      <c r="E7" t="s">
        <v>19</v>
      </c>
      <c r="F7" t="s">
        <v>18</v>
      </c>
    </row>
    <row r="8" spans="2:6">
      <c r="B8" t="s">
        <v>2</v>
      </c>
      <c r="C8" s="3">
        <v>3</v>
      </c>
    </row>
    <row r="9" spans="2:6">
      <c r="B9" t="s">
        <v>7</v>
      </c>
      <c r="C9" s="3">
        <v>1</v>
      </c>
    </row>
    <row r="10" spans="2:6">
      <c r="B10" t="s">
        <v>0</v>
      </c>
      <c r="C10" s="3">
        <v>5</v>
      </c>
    </row>
    <row r="11" spans="2:6">
      <c r="B11" t="s">
        <v>4</v>
      </c>
      <c r="C11" s="3">
        <v>6</v>
      </c>
    </row>
    <row r="20" spans="9:10">
      <c r="I20" t="s">
        <v>20</v>
      </c>
      <c r="J20" t="s">
        <v>21</v>
      </c>
    </row>
    <row r="21" spans="9:10">
      <c r="I21" t="s">
        <v>22</v>
      </c>
    </row>
    <row r="22" spans="9:10">
      <c r="I22" t="s">
        <v>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08BC-581A-4C5D-A916-06AB48EF198A}">
  <dimension ref="A1:C51"/>
  <sheetViews>
    <sheetView workbookViewId="0">
      <selection activeCell="D7" sqref="D7"/>
    </sheetView>
  </sheetViews>
  <sheetFormatPr baseColWidth="10" defaultRowHeight="14.4"/>
  <sheetData>
    <row r="1" spans="1:3">
      <c r="A1" t="s">
        <v>33</v>
      </c>
      <c r="B1" t="s">
        <v>34</v>
      </c>
      <c r="C1" t="s">
        <v>35</v>
      </c>
    </row>
    <row r="2" spans="1:3">
      <c r="A2">
        <v>1</v>
      </c>
      <c r="B2">
        <v>2</v>
      </c>
      <c r="C2" t="s">
        <v>36</v>
      </c>
    </row>
    <row r="3" spans="1:3">
      <c r="A3">
        <v>2</v>
      </c>
      <c r="B3">
        <v>3</v>
      </c>
      <c r="C3" t="s">
        <v>36</v>
      </c>
    </row>
    <row r="4" spans="1:3">
      <c r="A4">
        <v>3</v>
      </c>
      <c r="B4">
        <v>3</v>
      </c>
      <c r="C4" t="s">
        <v>36</v>
      </c>
    </row>
    <row r="5" spans="1:3">
      <c r="A5">
        <v>4</v>
      </c>
      <c r="B5">
        <v>0</v>
      </c>
      <c r="C5" t="s">
        <v>36</v>
      </c>
    </row>
    <row r="6" spans="1:3">
      <c r="A6">
        <v>5</v>
      </c>
      <c r="B6">
        <v>2</v>
      </c>
      <c r="C6" t="s">
        <v>36</v>
      </c>
    </row>
    <row r="7" spans="1:3">
      <c r="A7">
        <v>6</v>
      </c>
      <c r="B7">
        <v>1</v>
      </c>
      <c r="C7" t="s">
        <v>36</v>
      </c>
    </row>
    <row r="8" spans="1:3">
      <c r="A8">
        <v>7</v>
      </c>
      <c r="B8">
        <v>1</v>
      </c>
      <c r="C8" t="s">
        <v>36</v>
      </c>
    </row>
    <row r="9" spans="1:3">
      <c r="A9">
        <v>8</v>
      </c>
      <c r="B9">
        <v>0</v>
      </c>
      <c r="C9" t="s">
        <v>36</v>
      </c>
    </row>
    <row r="10" spans="1:3">
      <c r="A10">
        <v>9</v>
      </c>
      <c r="B10">
        <v>5</v>
      </c>
      <c r="C10" t="s">
        <v>36</v>
      </c>
    </row>
    <row r="11" spans="1:3">
      <c r="A11">
        <v>10</v>
      </c>
      <c r="B11">
        <v>2</v>
      </c>
      <c r="C11" t="s">
        <v>37</v>
      </c>
    </row>
    <row r="12" spans="1:3">
      <c r="A12">
        <v>11</v>
      </c>
      <c r="B12">
        <v>3</v>
      </c>
      <c r="C12" t="s">
        <v>37</v>
      </c>
    </row>
    <row r="13" spans="1:3">
      <c r="A13">
        <v>12</v>
      </c>
      <c r="B13">
        <v>3</v>
      </c>
      <c r="C13" t="s">
        <v>37</v>
      </c>
    </row>
    <row r="14" spans="1:3">
      <c r="A14">
        <v>13</v>
      </c>
      <c r="B14">
        <v>2</v>
      </c>
      <c r="C14" t="s">
        <v>37</v>
      </c>
    </row>
    <row r="15" spans="1:3">
      <c r="A15">
        <v>14</v>
      </c>
      <c r="B15">
        <v>1</v>
      </c>
      <c r="C15" t="s">
        <v>37</v>
      </c>
    </row>
    <row r="16" spans="1:3">
      <c r="A16">
        <v>15</v>
      </c>
      <c r="B16">
        <v>2</v>
      </c>
      <c r="C16" t="s">
        <v>37</v>
      </c>
    </row>
    <row r="17" spans="1:3">
      <c r="A17">
        <v>16</v>
      </c>
      <c r="B17">
        <v>4</v>
      </c>
      <c r="C17" t="s">
        <v>37</v>
      </c>
    </row>
    <row r="18" spans="1:3">
      <c r="A18">
        <v>17</v>
      </c>
      <c r="B18">
        <v>0</v>
      </c>
      <c r="C18" t="s">
        <v>37</v>
      </c>
    </row>
    <row r="19" spans="1:3">
      <c r="A19">
        <v>18</v>
      </c>
      <c r="B19">
        <v>3</v>
      </c>
      <c r="C19" t="s">
        <v>37</v>
      </c>
    </row>
    <row r="20" spans="1:3">
      <c r="A20">
        <v>19</v>
      </c>
      <c r="B20">
        <v>1</v>
      </c>
      <c r="C20" t="s">
        <v>38</v>
      </c>
    </row>
    <row r="21" spans="1:3">
      <c r="A21">
        <v>20</v>
      </c>
      <c r="B21">
        <v>2</v>
      </c>
      <c r="C21" t="s">
        <v>38</v>
      </c>
    </row>
    <row r="22" spans="1:3">
      <c r="A22">
        <v>21</v>
      </c>
      <c r="B22">
        <v>2</v>
      </c>
      <c r="C22" t="s">
        <v>38</v>
      </c>
    </row>
    <row r="23" spans="1:3">
      <c r="A23">
        <v>22</v>
      </c>
      <c r="B23">
        <v>4</v>
      </c>
      <c r="C23" t="s">
        <v>38</v>
      </c>
    </row>
    <row r="24" spans="1:3">
      <c r="A24">
        <v>23</v>
      </c>
      <c r="B24">
        <v>0</v>
      </c>
      <c r="C24" t="s">
        <v>38</v>
      </c>
    </row>
    <row r="25" spans="1:3">
      <c r="A25">
        <v>24</v>
      </c>
      <c r="B25">
        <v>1</v>
      </c>
      <c r="C25" t="s">
        <v>38</v>
      </c>
    </row>
    <row r="26" spans="1:3">
      <c r="A26">
        <v>25</v>
      </c>
      <c r="B26">
        <v>3</v>
      </c>
      <c r="C26" t="s">
        <v>38</v>
      </c>
    </row>
    <row r="27" spans="1:3">
      <c r="A27">
        <v>26</v>
      </c>
      <c r="B27">
        <v>2</v>
      </c>
      <c r="C27" t="s">
        <v>38</v>
      </c>
    </row>
    <row r="28" spans="1:3">
      <c r="A28">
        <v>27</v>
      </c>
      <c r="B28">
        <v>3</v>
      </c>
      <c r="C28" t="s">
        <v>38</v>
      </c>
    </row>
    <row r="29" spans="1:3">
      <c r="A29">
        <v>28</v>
      </c>
      <c r="B29">
        <v>2</v>
      </c>
      <c r="C29" t="s">
        <v>39</v>
      </c>
    </row>
    <row r="30" spans="1:3">
      <c r="A30">
        <v>29</v>
      </c>
      <c r="B30">
        <v>1</v>
      </c>
      <c r="C30" t="s">
        <v>39</v>
      </c>
    </row>
    <row r="31" spans="1:3">
      <c r="A31">
        <v>30</v>
      </c>
      <c r="B31">
        <v>2</v>
      </c>
      <c r="C31" t="s">
        <v>39</v>
      </c>
    </row>
    <row r="32" spans="1:3">
      <c r="A32">
        <v>31</v>
      </c>
      <c r="B32">
        <v>3</v>
      </c>
      <c r="C32" t="s">
        <v>39</v>
      </c>
    </row>
    <row r="33" spans="1:3">
      <c r="A33">
        <v>32</v>
      </c>
      <c r="B33">
        <v>2</v>
      </c>
      <c r="C33" t="s">
        <v>39</v>
      </c>
    </row>
    <row r="34" spans="1:3">
      <c r="A34">
        <v>33</v>
      </c>
      <c r="B34">
        <v>2</v>
      </c>
      <c r="C34" t="s">
        <v>39</v>
      </c>
    </row>
    <row r="35" spans="1:3">
      <c r="A35">
        <v>34</v>
      </c>
      <c r="B35">
        <v>4</v>
      </c>
      <c r="C35" t="s">
        <v>39</v>
      </c>
    </row>
    <row r="36" spans="1:3">
      <c r="A36">
        <v>35</v>
      </c>
      <c r="B36">
        <v>6</v>
      </c>
      <c r="C36" t="s">
        <v>39</v>
      </c>
    </row>
    <row r="37" spans="1:3">
      <c r="A37">
        <v>36</v>
      </c>
      <c r="B37">
        <v>0</v>
      </c>
      <c r="C37" t="s">
        <v>39</v>
      </c>
    </row>
    <row r="38" spans="1:3">
      <c r="A38">
        <v>37</v>
      </c>
      <c r="B38">
        <v>1</v>
      </c>
      <c r="C38" t="s">
        <v>40</v>
      </c>
    </row>
    <row r="39" spans="1:3">
      <c r="A39">
        <v>38</v>
      </c>
      <c r="B39">
        <v>1</v>
      </c>
      <c r="C39" t="s">
        <v>40</v>
      </c>
    </row>
    <row r="40" spans="1:3">
      <c r="A40">
        <v>39</v>
      </c>
      <c r="B40">
        <v>1</v>
      </c>
      <c r="C40" t="s">
        <v>40</v>
      </c>
    </row>
    <row r="41" spans="1:3">
      <c r="A41">
        <v>40</v>
      </c>
      <c r="B41">
        <v>2</v>
      </c>
      <c r="C41" t="s">
        <v>40</v>
      </c>
    </row>
    <row r="42" spans="1:3">
      <c r="A42">
        <v>41</v>
      </c>
      <c r="B42">
        <v>2</v>
      </c>
      <c r="C42" t="s">
        <v>40</v>
      </c>
    </row>
    <row r="43" spans="1:3">
      <c r="A43">
        <v>42</v>
      </c>
      <c r="B43">
        <v>0</v>
      </c>
      <c r="C43" t="s">
        <v>40</v>
      </c>
    </row>
    <row r="44" spans="1:3">
      <c r="A44">
        <v>43</v>
      </c>
      <c r="B44">
        <v>1</v>
      </c>
      <c r="C44" t="s">
        <v>40</v>
      </c>
    </row>
    <row r="45" spans="1:3">
      <c r="A45">
        <v>44</v>
      </c>
      <c r="B45">
        <v>1</v>
      </c>
      <c r="C45" t="s">
        <v>40</v>
      </c>
    </row>
    <row r="46" spans="1:3">
      <c r="A46">
        <v>45</v>
      </c>
      <c r="B46">
        <v>5</v>
      </c>
      <c r="C46" t="s">
        <v>40</v>
      </c>
    </row>
    <row r="47" spans="1:3">
      <c r="A47">
        <v>46</v>
      </c>
      <c r="B47">
        <v>3</v>
      </c>
      <c r="C47" t="s">
        <v>41</v>
      </c>
    </row>
    <row r="48" spans="1:3">
      <c r="A48">
        <v>47</v>
      </c>
      <c r="B48">
        <v>4</v>
      </c>
      <c r="C48" t="s">
        <v>41</v>
      </c>
    </row>
    <row r="49" spans="1:3">
      <c r="A49">
        <v>48</v>
      </c>
      <c r="B49">
        <v>1</v>
      </c>
      <c r="C49" t="s">
        <v>41</v>
      </c>
    </row>
    <row r="50" spans="1:3">
      <c r="A50">
        <v>49</v>
      </c>
      <c r="B50">
        <v>0</v>
      </c>
      <c r="C50" t="s">
        <v>41</v>
      </c>
    </row>
    <row r="51" spans="1:3">
      <c r="A51">
        <v>50</v>
      </c>
      <c r="B51">
        <v>2</v>
      </c>
      <c r="C5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7A49-75BE-4F0F-93B2-15325110C58D}">
  <dimension ref="B2:C49"/>
  <sheetViews>
    <sheetView topLeftCell="A25" zoomScale="90" zoomScaleNormal="90" workbookViewId="0">
      <selection activeCell="C46" sqref="C46"/>
    </sheetView>
  </sheetViews>
  <sheetFormatPr baseColWidth="10" defaultRowHeight="14.4"/>
  <cols>
    <col min="1" max="1" width="3.6640625" customWidth="1"/>
    <col min="2" max="2" width="20.6640625" customWidth="1"/>
    <col min="3" max="3" width="32.77734375" bestFit="1" customWidth="1"/>
    <col min="4" max="8" width="11.5546875" customWidth="1"/>
    <col min="9" max="9" width="11.88671875" bestFit="1" customWidth="1"/>
    <col min="10" max="103" width="11.5546875" customWidth="1"/>
  </cols>
  <sheetData>
    <row r="2" spans="2:3" ht="14.4" customHeight="1">
      <c r="B2" s="4" t="s">
        <v>24</v>
      </c>
      <c r="C2" t="s">
        <v>25</v>
      </c>
    </row>
    <row r="3" spans="2:3" ht="14.4" customHeight="1">
      <c r="B3" s="4" t="s">
        <v>27</v>
      </c>
      <c r="C3" t="s">
        <v>28</v>
      </c>
    </row>
    <row r="4" spans="2:3" ht="14.4" customHeight="1">
      <c r="B4" s="4" t="s">
        <v>29</v>
      </c>
      <c r="C4" t="s">
        <v>26</v>
      </c>
    </row>
    <row r="5" spans="2:3" ht="14.4" customHeight="1">
      <c r="B5" s="4" t="s">
        <v>31</v>
      </c>
      <c r="C5" t="s">
        <v>30</v>
      </c>
    </row>
    <row r="6" spans="2:3" ht="14.4" customHeight="1">
      <c r="B6" s="4" t="s">
        <v>32</v>
      </c>
      <c r="C6" t="s">
        <v>18</v>
      </c>
    </row>
    <row r="7" spans="2:3" ht="14.4" customHeight="1"/>
    <row r="8" spans="2:3" ht="14.4" customHeight="1">
      <c r="B8" s="5"/>
    </row>
    <row r="9" spans="2:3" ht="14.4" customHeight="1"/>
    <row r="11" spans="2:3">
      <c r="B11" s="2" t="s">
        <v>43</v>
      </c>
      <c r="C11" t="s">
        <v>42</v>
      </c>
    </row>
    <row r="12" spans="2:3">
      <c r="B12" s="6" t="s">
        <v>36</v>
      </c>
      <c r="C12" s="3">
        <v>17</v>
      </c>
    </row>
    <row r="13" spans="2:3">
      <c r="B13" s="6" t="s">
        <v>37</v>
      </c>
      <c r="C13" s="3">
        <v>20</v>
      </c>
    </row>
    <row r="14" spans="2:3">
      <c r="B14" s="6" t="s">
        <v>38</v>
      </c>
      <c r="C14" s="3">
        <v>18</v>
      </c>
    </row>
    <row r="15" spans="2:3">
      <c r="B15" s="6" t="s">
        <v>39</v>
      </c>
      <c r="C15" s="3">
        <v>22</v>
      </c>
    </row>
    <row r="16" spans="2:3">
      <c r="B16" s="6" t="s">
        <v>40</v>
      </c>
      <c r="C16" s="3">
        <v>14</v>
      </c>
    </row>
    <row r="17" spans="2:3">
      <c r="B17" s="6" t="s">
        <v>41</v>
      </c>
      <c r="C17" s="3">
        <v>10</v>
      </c>
    </row>
    <row r="18" spans="2:3">
      <c r="B18" s="6" t="s">
        <v>44</v>
      </c>
      <c r="C18" s="3">
        <v>101</v>
      </c>
    </row>
    <row r="23" spans="2:3">
      <c r="B23" s="2" t="s">
        <v>43</v>
      </c>
      <c r="C23" t="s">
        <v>45</v>
      </c>
    </row>
    <row r="24" spans="2:3">
      <c r="B24" s="6">
        <v>0</v>
      </c>
      <c r="C24" s="3">
        <v>7</v>
      </c>
    </row>
    <row r="25" spans="2:3">
      <c r="B25" s="6">
        <v>1</v>
      </c>
      <c r="C25" s="3">
        <v>12</v>
      </c>
    </row>
    <row r="26" spans="2:3">
      <c r="B26" s="6">
        <v>2</v>
      </c>
      <c r="C26" s="3">
        <v>15</v>
      </c>
    </row>
    <row r="27" spans="2:3">
      <c r="B27" s="6">
        <v>3</v>
      </c>
      <c r="C27" s="3">
        <v>9</v>
      </c>
    </row>
    <row r="28" spans="2:3">
      <c r="B28" s="6">
        <v>4</v>
      </c>
      <c r="C28" s="3">
        <v>4</v>
      </c>
    </row>
    <row r="29" spans="2:3">
      <c r="B29" s="6">
        <v>5</v>
      </c>
      <c r="C29" s="3">
        <v>2</v>
      </c>
    </row>
    <row r="30" spans="2:3">
      <c r="B30" s="6">
        <v>6</v>
      </c>
      <c r="C30" s="3">
        <v>1</v>
      </c>
    </row>
    <row r="31" spans="2:3">
      <c r="B31" s="6" t="s">
        <v>44</v>
      </c>
      <c r="C31" s="3">
        <v>50</v>
      </c>
    </row>
    <row r="34" spans="2:3">
      <c r="B34" cm="1">
        <f t="array" ref="B34:B40">B24:B30</f>
        <v>0</v>
      </c>
      <c r="C34">
        <f>GETPIVOTDATA("Numero",$B$23,"Nb pieces deffectueuses",0)</f>
        <v>7</v>
      </c>
    </row>
    <row r="35" spans="2:3">
      <c r="B35">
        <v>1</v>
      </c>
      <c r="C35">
        <f>C34+GETPIVOTDATA("Numero",$B$23,"Nb pieces deffectueuses",1)</f>
        <v>19</v>
      </c>
    </row>
    <row r="36" spans="2:3">
      <c r="B36">
        <v>2</v>
      </c>
      <c r="C36">
        <f>C35+GETPIVOTDATA("Numero",$B$23,"Nb pieces deffectueuses",2)</f>
        <v>34</v>
      </c>
    </row>
    <row r="37" spans="2:3">
      <c r="B37">
        <v>3</v>
      </c>
      <c r="C37">
        <f>C36+GETPIVOTDATA("Numero",$B$23,"Nb pieces deffectueuses",3)</f>
        <v>43</v>
      </c>
    </row>
    <row r="38" spans="2:3">
      <c r="B38">
        <v>4</v>
      </c>
      <c r="C38">
        <f>C37+GETPIVOTDATA("Numero",$B$23,"Nb pieces deffectueuses",4)</f>
        <v>47</v>
      </c>
    </row>
    <row r="39" spans="2:3">
      <c r="B39">
        <v>5</v>
      </c>
      <c r="C39">
        <f>C38+GETPIVOTDATA("Numero",$B$23,"Nb pieces deffectueuses",5)</f>
        <v>49</v>
      </c>
    </row>
    <row r="40" spans="2:3">
      <c r="B40">
        <v>6</v>
      </c>
      <c r="C40">
        <f>C39+GETPIVOTDATA("Numero",$B$23,"Nb pieces deffectueuses",6)</f>
        <v>50</v>
      </c>
    </row>
    <row r="41" spans="2:3">
      <c r="B41" s="7"/>
    </row>
    <row r="44" spans="2:3" ht="28.8">
      <c r="B44" s="4" t="s">
        <v>46</v>
      </c>
      <c r="C44">
        <f>AVERAGE(DonnéesEx2!B2:B51)</f>
        <v>2.02</v>
      </c>
    </row>
    <row r="45" spans="2:3">
      <c r="B45" t="s">
        <v>47</v>
      </c>
      <c r="C45">
        <f>MAX(DonnéesEx2!B2:B51)-MIN(DonnéesEx2!B2:B51)</f>
        <v>6</v>
      </c>
    </row>
    <row r="46" spans="2:3">
      <c r="B46" t="s">
        <v>48</v>
      </c>
      <c r="C46">
        <f>MODE(DonnéesEx2!A1:B51)</f>
        <v>2</v>
      </c>
    </row>
    <row r="47" spans="2:3">
      <c r="B47" t="s">
        <v>49</v>
      </c>
      <c r="C47" s="8">
        <f>VARP(DonnéesEx2!B2:B51)</f>
        <v>1.9796</v>
      </c>
    </row>
    <row r="48" spans="2:3">
      <c r="B48" t="s">
        <v>50</v>
      </c>
      <c r="C48" s="8">
        <f>_xlfn.STDEV.S(DonnéesEx2!B2:B51)</f>
        <v>1.4212670403551895</v>
      </c>
    </row>
    <row r="49" spans="2:3">
      <c r="B49" t="s">
        <v>51</v>
      </c>
      <c r="C49">
        <f>MEDIAN(DonnéesEx2!B2:B51)</f>
        <v>2</v>
      </c>
    </row>
  </sheetData>
  <pageMargins left="0.7" right="0.7" top="0.75" bottom="0.75" header="0.3" footer="0.3"/>
  <pageSetup paperSize="9" orientation="portrait" horizontalDpi="360" verticalDpi="36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7E6D-A7DE-4CD0-BFBD-CCA63715A17F}">
  <dimension ref="A2:J115"/>
  <sheetViews>
    <sheetView tabSelected="1" workbookViewId="0">
      <selection activeCell="J11" sqref="J11"/>
    </sheetView>
  </sheetViews>
  <sheetFormatPr baseColWidth="10" defaultRowHeight="13.2"/>
  <cols>
    <col min="1" max="1" width="13.33203125" style="9" customWidth="1"/>
    <col min="2" max="2" width="9.6640625" style="9" customWidth="1"/>
    <col min="3" max="3" width="18" style="9" customWidth="1"/>
    <col min="4" max="4" width="17.33203125" style="9" customWidth="1"/>
    <col min="5" max="8" width="12.6640625" style="9" customWidth="1"/>
    <col min="9" max="9" width="10.33203125" style="9" customWidth="1"/>
    <col min="10" max="10" width="9.109375" style="9" customWidth="1"/>
    <col min="11" max="12" width="11.5546875" style="9"/>
    <col min="13" max="13" width="6.109375" style="9" customWidth="1"/>
    <col min="14" max="16384" width="11.5546875" style="9"/>
  </cols>
  <sheetData>
    <row r="2" spans="1:10" s="15" customFormat="1" ht="39.6">
      <c r="A2" s="13" t="s">
        <v>60</v>
      </c>
      <c r="B2" s="14" t="s">
        <v>61</v>
      </c>
      <c r="J2" s="14"/>
    </row>
    <row r="3" spans="1:10">
      <c r="A3" s="11">
        <v>168</v>
      </c>
      <c r="B3" s="11">
        <v>142.5</v>
      </c>
      <c r="D3" s="73"/>
      <c r="E3" s="73"/>
      <c r="F3" s="73"/>
      <c r="G3" s="73"/>
      <c r="H3" s="73"/>
    </row>
    <row r="4" spans="1:10">
      <c r="A4" s="11">
        <v>179</v>
      </c>
      <c r="B4" s="11">
        <f t="shared" ref="B4:B15" si="0">B3+5</f>
        <v>147.5</v>
      </c>
      <c r="D4" s="73"/>
      <c r="E4" s="73"/>
      <c r="F4" s="73"/>
      <c r="G4" s="73"/>
      <c r="H4" s="73"/>
    </row>
    <row r="5" spans="1:10" ht="14.4">
      <c r="A5" s="11">
        <v>161</v>
      </c>
      <c r="B5" s="11">
        <f t="shared" si="0"/>
        <v>152.5</v>
      </c>
      <c r="D5" s="73"/>
      <c r="E5" s="74"/>
      <c r="F5" s="74"/>
      <c r="G5" s="74"/>
      <c r="H5" s="73"/>
    </row>
    <row r="6" spans="1:10" ht="14.4">
      <c r="A6" s="11">
        <v>179</v>
      </c>
      <c r="B6" s="11">
        <f t="shared" si="0"/>
        <v>157.5</v>
      </c>
      <c r="D6" s="73"/>
      <c r="E6" s="72"/>
      <c r="F6" s="70"/>
      <c r="G6" s="71"/>
      <c r="H6" s="73"/>
    </row>
    <row r="7" spans="1:10" ht="14.4">
      <c r="A7" s="11">
        <v>164</v>
      </c>
      <c r="B7" s="11">
        <f t="shared" si="0"/>
        <v>162.5</v>
      </c>
      <c r="D7" s="73"/>
      <c r="E7" s="72"/>
      <c r="F7" s="70"/>
      <c r="G7" s="71"/>
      <c r="H7" s="73"/>
    </row>
    <row r="8" spans="1:10" ht="14.4">
      <c r="A8" s="11">
        <v>196</v>
      </c>
      <c r="B8" s="11">
        <f t="shared" si="0"/>
        <v>167.5</v>
      </c>
      <c r="D8" s="73"/>
      <c r="E8" s="72"/>
      <c r="F8" s="70"/>
      <c r="G8" s="71"/>
      <c r="H8" s="73"/>
    </row>
    <row r="9" spans="1:10" ht="14.4">
      <c r="A9" s="11">
        <v>176</v>
      </c>
      <c r="B9" s="11">
        <f t="shared" si="0"/>
        <v>172.5</v>
      </c>
      <c r="D9" s="73"/>
      <c r="E9" s="72"/>
      <c r="F9" s="70"/>
      <c r="G9" s="71"/>
      <c r="H9" s="73"/>
    </row>
    <row r="10" spans="1:10" ht="14.4">
      <c r="A10" s="11">
        <v>182</v>
      </c>
      <c r="B10" s="11">
        <f t="shared" si="0"/>
        <v>177.5</v>
      </c>
      <c r="D10" s="73"/>
      <c r="E10" s="72"/>
      <c r="F10" s="70"/>
      <c r="G10" s="71"/>
      <c r="H10" s="73"/>
    </row>
    <row r="11" spans="1:10" ht="14.4">
      <c r="A11" s="11">
        <v>168</v>
      </c>
      <c r="B11" s="11">
        <f t="shared" si="0"/>
        <v>182.5</v>
      </c>
      <c r="D11" s="73"/>
      <c r="E11" s="72"/>
      <c r="F11" s="70"/>
      <c r="G11" s="71"/>
      <c r="H11" s="73"/>
    </row>
    <row r="12" spans="1:10" ht="14.4">
      <c r="A12" s="11">
        <v>172</v>
      </c>
      <c r="B12" s="11">
        <f t="shared" si="0"/>
        <v>187.5</v>
      </c>
      <c r="D12" s="73"/>
      <c r="E12" s="72"/>
      <c r="F12" s="70"/>
      <c r="G12" s="71"/>
      <c r="H12" s="73"/>
    </row>
    <row r="13" spans="1:10" ht="14.4">
      <c r="A13" s="11">
        <v>175</v>
      </c>
      <c r="B13" s="11">
        <f t="shared" si="0"/>
        <v>192.5</v>
      </c>
      <c r="D13" s="73"/>
      <c r="E13" s="72"/>
      <c r="F13" s="70"/>
      <c r="G13" s="71"/>
      <c r="H13" s="73"/>
    </row>
    <row r="14" spans="1:10" ht="14.4">
      <c r="A14" s="11">
        <v>175</v>
      </c>
      <c r="B14" s="11">
        <f t="shared" si="0"/>
        <v>197.5</v>
      </c>
      <c r="D14" s="73"/>
      <c r="E14" s="72"/>
      <c r="F14" s="70"/>
      <c r="G14" s="71"/>
      <c r="H14" s="73"/>
    </row>
    <row r="15" spans="1:10" ht="14.4">
      <c r="A15" s="11">
        <v>159</v>
      </c>
      <c r="B15" s="11">
        <f t="shared" si="0"/>
        <v>202.5</v>
      </c>
      <c r="D15" s="73"/>
      <c r="E15" s="72"/>
      <c r="F15" s="70"/>
      <c r="G15" s="71"/>
      <c r="H15" s="73"/>
    </row>
    <row r="16" spans="1:10" ht="14.4">
      <c r="A16" s="11">
        <v>181</v>
      </c>
      <c r="D16" s="73"/>
      <c r="E16" s="72"/>
      <c r="F16" s="70"/>
      <c r="G16" s="71"/>
      <c r="H16" s="73"/>
    </row>
    <row r="17" spans="1:8" ht="14.4">
      <c r="A17" s="11">
        <v>170</v>
      </c>
      <c r="D17" s="73"/>
      <c r="E17" s="72"/>
      <c r="F17" s="70"/>
      <c r="G17" s="71"/>
      <c r="H17" s="73"/>
    </row>
    <row r="18" spans="1:8" ht="14.4">
      <c r="A18" s="11">
        <v>174</v>
      </c>
      <c r="D18" s="73"/>
      <c r="E18" s="70"/>
      <c r="F18" s="70"/>
      <c r="G18" s="71"/>
      <c r="H18" s="73"/>
    </row>
    <row r="19" spans="1:8">
      <c r="A19" s="11">
        <v>181</v>
      </c>
      <c r="D19" s="73"/>
      <c r="E19" s="73"/>
      <c r="F19" s="73"/>
      <c r="G19" s="73"/>
      <c r="H19" s="73"/>
    </row>
    <row r="20" spans="1:8">
      <c r="A20" s="11">
        <v>149</v>
      </c>
      <c r="D20" s="73"/>
      <c r="E20" s="73"/>
      <c r="F20" s="73"/>
      <c r="G20" s="73"/>
      <c r="H20" s="73"/>
    </row>
    <row r="21" spans="1:8">
      <c r="A21" s="11">
        <v>177</v>
      </c>
      <c r="D21" s="73"/>
      <c r="E21" s="73"/>
      <c r="F21" s="73"/>
      <c r="G21" s="73"/>
      <c r="H21" s="73"/>
    </row>
    <row r="22" spans="1:8">
      <c r="A22" s="11">
        <v>188</v>
      </c>
      <c r="D22" s="73"/>
      <c r="E22" s="73"/>
      <c r="F22" s="73"/>
      <c r="G22" s="73"/>
      <c r="H22" s="73"/>
    </row>
    <row r="23" spans="1:8">
      <c r="A23" s="11">
        <v>167</v>
      </c>
      <c r="D23" s="73"/>
      <c r="E23" s="73"/>
      <c r="F23" s="73"/>
      <c r="G23" s="73"/>
      <c r="H23" s="73"/>
    </row>
    <row r="24" spans="1:8">
      <c r="A24" s="11">
        <v>181</v>
      </c>
      <c r="D24" s="73"/>
      <c r="E24" s="73"/>
      <c r="F24" s="73"/>
      <c r="G24" s="73"/>
      <c r="H24" s="73"/>
    </row>
    <row r="25" spans="1:8">
      <c r="A25" s="11">
        <v>176</v>
      </c>
    </row>
    <row r="26" spans="1:8">
      <c r="A26" s="11">
        <v>194</v>
      </c>
    </row>
    <row r="27" spans="1:8">
      <c r="A27" s="11">
        <v>160</v>
      </c>
    </row>
    <row r="28" spans="1:8">
      <c r="A28" s="11">
        <v>175</v>
      </c>
    </row>
    <row r="29" spans="1:8">
      <c r="A29" s="11">
        <v>196</v>
      </c>
    </row>
    <row r="30" spans="1:8">
      <c r="A30" s="11">
        <v>172</v>
      </c>
    </row>
    <row r="31" spans="1:8">
      <c r="A31" s="11">
        <v>159</v>
      </c>
    </row>
    <row r="32" spans="1:8">
      <c r="A32" s="11">
        <v>187</v>
      </c>
    </row>
    <row r="33" spans="1:1">
      <c r="A33" s="11">
        <v>171</v>
      </c>
    </row>
    <row r="34" spans="1:1">
      <c r="A34" s="11">
        <v>178</v>
      </c>
    </row>
    <row r="35" spans="1:1">
      <c r="A35" s="11">
        <v>187</v>
      </c>
    </row>
    <row r="36" spans="1:1">
      <c r="A36" s="11">
        <v>169</v>
      </c>
    </row>
    <row r="37" spans="1:1">
      <c r="A37" s="11">
        <v>174</v>
      </c>
    </row>
    <row r="38" spans="1:1">
      <c r="A38" s="11">
        <v>176</v>
      </c>
    </row>
    <row r="39" spans="1:1">
      <c r="A39" s="11">
        <v>172</v>
      </c>
    </row>
    <row r="40" spans="1:1">
      <c r="A40" s="11">
        <v>167</v>
      </c>
    </row>
    <row r="41" spans="1:1">
      <c r="A41" s="11">
        <v>181</v>
      </c>
    </row>
    <row r="42" spans="1:1">
      <c r="A42" s="11">
        <v>166</v>
      </c>
    </row>
    <row r="43" spans="1:1">
      <c r="A43" s="11">
        <v>174</v>
      </c>
    </row>
    <row r="44" spans="1:1">
      <c r="A44" s="11">
        <v>166</v>
      </c>
    </row>
    <row r="45" spans="1:1">
      <c r="A45" s="11">
        <v>182</v>
      </c>
    </row>
    <row r="46" spans="1:1">
      <c r="A46" s="11">
        <v>171</v>
      </c>
    </row>
    <row r="47" spans="1:1">
      <c r="A47" s="11">
        <v>176</v>
      </c>
    </row>
    <row r="48" spans="1:1">
      <c r="A48" s="11">
        <v>182</v>
      </c>
    </row>
    <row r="49" spans="1:8">
      <c r="A49" s="11">
        <v>176</v>
      </c>
    </row>
    <row r="50" spans="1:8">
      <c r="A50" s="11">
        <v>160</v>
      </c>
    </row>
    <row r="51" spans="1:8">
      <c r="A51" s="11">
        <v>166</v>
      </c>
    </row>
    <row r="52" spans="1:8">
      <c r="A52" s="11">
        <v>189</v>
      </c>
    </row>
    <row r="53" spans="1:8">
      <c r="A53" s="11">
        <v>178</v>
      </c>
    </row>
    <row r="54" spans="1:8">
      <c r="A54" s="11">
        <v>177</v>
      </c>
    </row>
    <row r="55" spans="1:8">
      <c r="A55" s="11">
        <v>179</v>
      </c>
    </row>
    <row r="56" spans="1:8">
      <c r="A56" s="11">
        <v>191</v>
      </c>
    </row>
    <row r="57" spans="1:8">
      <c r="A57" s="11">
        <v>171</v>
      </c>
    </row>
    <row r="58" spans="1:8">
      <c r="A58" s="11">
        <v>144</v>
      </c>
    </row>
    <row r="59" spans="1:8">
      <c r="A59" s="11">
        <v>188</v>
      </c>
    </row>
    <row r="60" spans="1:8">
      <c r="A60" s="11">
        <v>165</v>
      </c>
    </row>
    <row r="61" spans="1:8">
      <c r="A61" s="11">
        <v>177</v>
      </c>
      <c r="D61" s="14"/>
      <c r="E61" s="14"/>
      <c r="F61" s="14"/>
      <c r="G61" s="14"/>
      <c r="H61" s="14"/>
    </row>
    <row r="62" spans="1:8">
      <c r="A62" s="11">
        <v>171</v>
      </c>
      <c r="D62" s="12"/>
      <c r="E62" s="11"/>
      <c r="G62" s="11"/>
      <c r="H62" s="11"/>
    </row>
    <row r="63" spans="1:8">
      <c r="A63" s="11">
        <v>163</v>
      </c>
      <c r="D63" s="12"/>
      <c r="E63" s="11"/>
      <c r="F63" s="11"/>
      <c r="G63" s="11"/>
      <c r="H63" s="11"/>
    </row>
    <row r="64" spans="1:8">
      <c r="A64" s="11">
        <v>174</v>
      </c>
      <c r="D64" s="12"/>
      <c r="E64" s="11"/>
      <c r="F64" s="11"/>
      <c r="G64" s="11"/>
      <c r="H64" s="11"/>
    </row>
    <row r="65" spans="1:9">
      <c r="A65" s="11">
        <v>193</v>
      </c>
      <c r="D65" s="12"/>
      <c r="E65" s="11"/>
      <c r="F65" s="11"/>
      <c r="G65" s="11"/>
      <c r="H65" s="11"/>
    </row>
    <row r="66" spans="1:9">
      <c r="A66" s="11">
        <v>169</v>
      </c>
      <c r="D66" s="12"/>
      <c r="E66" s="11"/>
      <c r="F66" s="11"/>
      <c r="G66" s="11"/>
      <c r="H66" s="11"/>
    </row>
    <row r="67" spans="1:9">
      <c r="A67" s="11">
        <v>192</v>
      </c>
      <c r="D67" s="12"/>
      <c r="E67" s="11"/>
      <c r="F67" s="11"/>
      <c r="G67" s="11"/>
      <c r="H67" s="11"/>
    </row>
    <row r="68" spans="1:9">
      <c r="A68" s="11">
        <v>175</v>
      </c>
      <c r="D68" s="12"/>
      <c r="E68" s="11"/>
      <c r="F68" s="11"/>
      <c r="G68" s="11"/>
      <c r="H68" s="11"/>
    </row>
    <row r="69" spans="1:9">
      <c r="A69" s="11">
        <v>174</v>
      </c>
      <c r="D69" s="12"/>
      <c r="E69" s="11"/>
      <c r="F69" s="11"/>
      <c r="G69" s="11"/>
      <c r="H69" s="11"/>
    </row>
    <row r="70" spans="1:9">
      <c r="A70" s="11">
        <v>179</v>
      </c>
      <c r="D70" s="12"/>
      <c r="E70" s="11"/>
      <c r="F70" s="11"/>
      <c r="G70" s="11"/>
      <c r="H70" s="11"/>
    </row>
    <row r="71" spans="1:9">
      <c r="A71" s="11">
        <v>163</v>
      </c>
      <c r="D71" s="12"/>
      <c r="E71" s="11"/>
      <c r="F71" s="11"/>
      <c r="G71" s="11"/>
      <c r="H71" s="11"/>
    </row>
    <row r="72" spans="1:9">
      <c r="A72" s="11">
        <v>175</v>
      </c>
      <c r="D72" s="12"/>
      <c r="E72" s="11"/>
      <c r="F72" s="11"/>
      <c r="G72" s="11"/>
      <c r="H72" s="11"/>
    </row>
    <row r="73" spans="1:9">
      <c r="A73" s="11">
        <v>180</v>
      </c>
      <c r="D73" s="12"/>
      <c r="E73" s="11"/>
      <c r="F73" s="11"/>
      <c r="G73" s="11"/>
      <c r="H73" s="11"/>
    </row>
    <row r="74" spans="1:9">
      <c r="A74" s="11">
        <v>180</v>
      </c>
      <c r="D74" s="11"/>
      <c r="E74" s="11"/>
      <c r="F74" s="11"/>
      <c r="G74" s="11"/>
      <c r="H74" s="11"/>
    </row>
    <row r="75" spans="1:9">
      <c r="A75" s="11">
        <v>179</v>
      </c>
      <c r="F75" s="11"/>
      <c r="G75" s="11"/>
      <c r="H75" s="11"/>
      <c r="I75" s="11"/>
    </row>
    <row r="76" spans="1:9">
      <c r="A76" s="11">
        <v>163</v>
      </c>
      <c r="D76" s="11"/>
      <c r="E76" s="11"/>
      <c r="F76" s="11"/>
      <c r="G76" s="11"/>
    </row>
    <row r="77" spans="1:9">
      <c r="A77" s="11">
        <v>180</v>
      </c>
      <c r="F77" s="11"/>
      <c r="G77" s="11"/>
      <c r="H77" s="11"/>
      <c r="I77" s="11"/>
    </row>
    <row r="78" spans="1:9">
      <c r="A78" s="11">
        <v>184</v>
      </c>
      <c r="D78" s="11"/>
      <c r="E78" s="11"/>
      <c r="F78" s="11"/>
      <c r="G78" s="11"/>
    </row>
    <row r="79" spans="1:9">
      <c r="A79" s="11">
        <v>176</v>
      </c>
      <c r="F79" s="11"/>
      <c r="G79" s="11"/>
      <c r="H79" s="11"/>
      <c r="I79" s="11"/>
    </row>
    <row r="80" spans="1:9">
      <c r="A80" s="11">
        <v>190</v>
      </c>
      <c r="D80" s="11"/>
      <c r="E80" s="11"/>
      <c r="F80" s="11"/>
      <c r="G80" s="11"/>
    </row>
    <row r="81" spans="1:9">
      <c r="A81" s="11">
        <v>173</v>
      </c>
      <c r="F81" s="11"/>
      <c r="G81" s="11"/>
      <c r="H81" s="11"/>
      <c r="I81" s="11"/>
    </row>
    <row r="82" spans="1:9">
      <c r="A82" s="11">
        <v>183</v>
      </c>
      <c r="D82" s="11"/>
      <c r="E82" s="11"/>
      <c r="F82" s="11"/>
      <c r="G82" s="11"/>
    </row>
    <row r="83" spans="1:9">
      <c r="A83" s="11">
        <v>174</v>
      </c>
      <c r="F83" s="11"/>
      <c r="G83" s="11"/>
      <c r="H83" s="11"/>
      <c r="I83" s="11"/>
    </row>
    <row r="84" spans="1:9">
      <c r="A84" s="11">
        <v>158</v>
      </c>
      <c r="D84" s="11"/>
      <c r="E84" s="11"/>
      <c r="F84" s="11"/>
      <c r="G84" s="11"/>
    </row>
    <row r="85" spans="1:9">
      <c r="A85" s="11">
        <v>184</v>
      </c>
      <c r="F85" s="11"/>
      <c r="G85" s="11"/>
      <c r="H85" s="11"/>
      <c r="I85" s="11"/>
    </row>
    <row r="86" spans="1:9">
      <c r="A86" s="11">
        <v>191</v>
      </c>
      <c r="D86" s="11"/>
      <c r="E86" s="11"/>
    </row>
    <row r="87" spans="1:9">
      <c r="A87" s="11">
        <v>175</v>
      </c>
    </row>
    <row r="88" spans="1:9">
      <c r="A88" s="11">
        <v>201</v>
      </c>
    </row>
    <row r="89" spans="1:9">
      <c r="A89" s="11">
        <v>168</v>
      </c>
    </row>
    <row r="90" spans="1:9">
      <c r="A90" s="11">
        <v>156</v>
      </c>
    </row>
    <row r="91" spans="1:9">
      <c r="A91" s="11">
        <v>189</v>
      </c>
    </row>
    <row r="92" spans="1:9">
      <c r="A92" s="11">
        <v>167</v>
      </c>
      <c r="C92" s="17"/>
    </row>
    <row r="93" spans="1:9">
      <c r="A93" s="11">
        <v>170</v>
      </c>
    </row>
    <row r="94" spans="1:9">
      <c r="A94" s="11">
        <v>175</v>
      </c>
      <c r="C94" s="10"/>
    </row>
    <row r="95" spans="1:9">
      <c r="A95" s="11">
        <v>170</v>
      </c>
      <c r="C95" s="19"/>
      <c r="D95" s="19"/>
    </row>
    <row r="96" spans="1:9">
      <c r="A96" s="11">
        <v>175</v>
      </c>
    </row>
    <row r="97" spans="1:6">
      <c r="A97" s="11">
        <v>165</v>
      </c>
      <c r="F97" s="10"/>
    </row>
    <row r="98" spans="1:6">
      <c r="A98" s="11">
        <v>169</v>
      </c>
      <c r="D98" s="18"/>
      <c r="F98" s="10"/>
    </row>
    <row r="99" spans="1:6">
      <c r="A99" s="11">
        <v>173</v>
      </c>
      <c r="F99" s="10"/>
    </row>
    <row r="100" spans="1:6">
      <c r="A100" s="11">
        <v>185</v>
      </c>
      <c r="F100" s="10"/>
    </row>
    <row r="101" spans="1:6">
      <c r="A101" s="11">
        <v>173</v>
      </c>
      <c r="D101" s="18"/>
      <c r="E101" s="18"/>
      <c r="F101" s="10"/>
    </row>
    <row r="102" spans="1:6">
      <c r="A102" s="11">
        <v>169</v>
      </c>
      <c r="D102" s="18"/>
      <c r="E102" s="18"/>
      <c r="F102" s="10"/>
    </row>
    <row r="103" spans="1:6">
      <c r="D103" s="18"/>
      <c r="E103" s="18"/>
      <c r="F103" s="10"/>
    </row>
    <row r="104" spans="1:6">
      <c r="D104" s="18"/>
      <c r="E104" s="18"/>
      <c r="F104" s="10"/>
    </row>
    <row r="105" spans="1:6">
      <c r="D105" s="18"/>
      <c r="E105" s="18"/>
    </row>
    <row r="106" spans="1:6">
      <c r="D106" s="18"/>
      <c r="E106" s="18"/>
    </row>
    <row r="108" spans="1:6">
      <c r="F108" s="10"/>
    </row>
    <row r="109" spans="1:6">
      <c r="F109" s="10"/>
    </row>
    <row r="110" spans="1:6">
      <c r="F110" s="10"/>
    </row>
    <row r="111" spans="1:6">
      <c r="F111" s="10"/>
    </row>
    <row r="112" spans="1:6">
      <c r="F112" s="10"/>
    </row>
    <row r="115" spans="6:6">
      <c r="F115" s="10"/>
    </row>
  </sheetData>
  <sortState xmlns:xlrd2="http://schemas.microsoft.com/office/spreadsheetml/2017/richdata2" ref="E6:E17">
    <sortCondition ref="E6"/>
  </sortState>
  <printOptions horizontalCentered="1" verticalCentered="1"/>
  <pageMargins left="0.59" right="0.59" top="0.59" bottom="0.59" header="0.31" footer="0.31"/>
  <pageSetup paperSize="9" scale="80" orientation="landscape" r:id="rId1"/>
  <headerFooter alignWithMargins="0">
    <oddHeader>&amp;C&amp;"Arial,Gras"&amp;F - &amp;A&amp;R&amp;D</oddHeader>
  </headerFooter>
  <rowBreaks count="3" manualBreakCount="3">
    <brk id="30" max="12" man="1"/>
    <brk id="60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EB2B-75DD-49BC-9279-1BC7B6DC80C0}">
  <dimension ref="A1:M83"/>
  <sheetViews>
    <sheetView topLeftCell="A65" zoomScale="70" zoomScaleNormal="70" workbookViewId="0">
      <selection activeCell="C100" sqref="C100"/>
    </sheetView>
  </sheetViews>
  <sheetFormatPr baseColWidth="10" defaultRowHeight="14.4"/>
  <cols>
    <col min="1" max="1" width="25.6640625" style="21" bestFit="1" customWidth="1"/>
    <col min="2" max="2" width="24.44140625" style="21" bestFit="1" customWidth="1"/>
    <col min="3" max="3" width="39.21875" style="21" bestFit="1" customWidth="1"/>
    <col min="4" max="4" width="17.109375" style="21" bestFit="1" customWidth="1"/>
    <col min="5" max="5" width="20.88671875" style="21" bestFit="1" customWidth="1"/>
    <col min="6" max="6" width="25.5546875" style="21" bestFit="1" customWidth="1"/>
    <col min="7" max="16384" width="11.5546875" style="21"/>
  </cols>
  <sheetData>
    <row r="1" spans="1:11">
      <c r="A1" s="20" t="s">
        <v>52</v>
      </c>
      <c r="B1" s="15" t="s">
        <v>81</v>
      </c>
      <c r="C1" s="15"/>
      <c r="D1" s="15"/>
      <c r="E1" s="15"/>
      <c r="F1" s="15"/>
      <c r="G1" s="15"/>
      <c r="H1" s="15"/>
      <c r="I1" s="15"/>
    </row>
    <row r="2" spans="1:11">
      <c r="A2" s="20" t="s">
        <v>82</v>
      </c>
      <c r="B2" s="15" t="s">
        <v>83</v>
      </c>
      <c r="C2" s="15"/>
      <c r="D2" s="15"/>
      <c r="E2" s="15"/>
      <c r="F2" s="15"/>
      <c r="G2" s="15"/>
      <c r="H2" s="15"/>
      <c r="I2" s="15"/>
    </row>
    <row r="3" spans="1:11">
      <c r="A3" s="20" t="s">
        <v>53</v>
      </c>
      <c r="B3" s="15" t="s">
        <v>84</v>
      </c>
      <c r="C3" s="15"/>
      <c r="D3" s="15"/>
      <c r="E3" s="15"/>
      <c r="F3" s="15"/>
      <c r="G3" s="15"/>
      <c r="H3" s="15"/>
      <c r="I3" s="15"/>
    </row>
    <row r="4" spans="1:11">
      <c r="A4" s="20" t="s">
        <v>54</v>
      </c>
      <c r="B4" s="15" t="s">
        <v>85</v>
      </c>
      <c r="C4" s="15"/>
      <c r="D4" s="15"/>
      <c r="E4" s="15"/>
      <c r="F4" s="15"/>
      <c r="G4" s="15"/>
      <c r="H4" s="15"/>
      <c r="I4" s="15"/>
    </row>
    <row r="5" spans="1:11">
      <c r="A5" s="20" t="s">
        <v>55</v>
      </c>
      <c r="B5" s="15" t="s">
        <v>86</v>
      </c>
      <c r="C5" s="15"/>
      <c r="D5" s="15"/>
      <c r="E5" s="15"/>
      <c r="F5" s="15"/>
      <c r="G5" s="15"/>
      <c r="H5" s="15"/>
      <c r="I5" s="15"/>
    </row>
    <row r="6" spans="1:11">
      <c r="A6" s="15"/>
      <c r="B6" s="15"/>
      <c r="C6" s="15"/>
      <c r="D6" s="15"/>
      <c r="E6" s="15"/>
      <c r="F6" s="15"/>
      <c r="G6" s="15"/>
      <c r="H6" s="15"/>
      <c r="I6" s="15"/>
    </row>
    <row r="7" spans="1:11">
      <c r="A7" s="20" t="s">
        <v>80</v>
      </c>
      <c r="B7" s="22">
        <f>E9</f>
        <v>12</v>
      </c>
      <c r="C7" s="15"/>
      <c r="D7" s="15" t="s">
        <v>56</v>
      </c>
      <c r="E7" s="22">
        <f>SQRT(K37)</f>
        <v>10</v>
      </c>
      <c r="F7" s="20" t="s">
        <v>57</v>
      </c>
      <c r="G7" s="15">
        <f>D14/E9</f>
        <v>4.75</v>
      </c>
      <c r="H7" s="15"/>
      <c r="I7" s="15"/>
    </row>
    <row r="8" spans="1:11">
      <c r="A8" s="15"/>
      <c r="B8" s="15"/>
      <c r="C8" s="15" t="s">
        <v>58</v>
      </c>
      <c r="D8" s="15" t="s">
        <v>59</v>
      </c>
      <c r="E8" s="23">
        <f>1+3.322*LOG(K37)</f>
        <v>7.6440000000000001</v>
      </c>
      <c r="F8" s="15" t="s">
        <v>88</v>
      </c>
      <c r="G8" s="15">
        <v>5</v>
      </c>
      <c r="H8" s="15"/>
      <c r="I8" s="15"/>
    </row>
    <row r="9" spans="1:11">
      <c r="A9" s="15"/>
      <c r="B9" s="15"/>
      <c r="C9" s="15"/>
      <c r="D9" s="15" t="s">
        <v>87</v>
      </c>
      <c r="E9" s="22">
        <v>12</v>
      </c>
      <c r="F9" s="15"/>
      <c r="G9" s="15"/>
      <c r="H9" s="15"/>
      <c r="I9" s="15"/>
    </row>
    <row r="11" spans="1:11" ht="39.6">
      <c r="A11" s="24" t="s">
        <v>68</v>
      </c>
      <c r="B11" s="15"/>
      <c r="C11" s="24" t="s">
        <v>69</v>
      </c>
      <c r="F11" s="16" t="s">
        <v>62</v>
      </c>
      <c r="G11" s="16" t="s">
        <v>64</v>
      </c>
      <c r="H11" s="16" t="s">
        <v>65</v>
      </c>
      <c r="I11" s="16" t="s">
        <v>66</v>
      </c>
      <c r="J11" s="16" t="s">
        <v>67</v>
      </c>
      <c r="K11" s="16" t="s">
        <v>63</v>
      </c>
    </row>
    <row r="12" spans="1:11">
      <c r="A12" s="15"/>
      <c r="B12" s="15"/>
      <c r="C12" s="15"/>
      <c r="F12" s="25">
        <v>142.5</v>
      </c>
      <c r="G12" s="26"/>
      <c r="H12" s="27"/>
      <c r="I12" s="27"/>
      <c r="J12" s="28">
        <v>0</v>
      </c>
      <c r="K12" s="26"/>
    </row>
    <row r="13" spans="1:11">
      <c r="A13" s="22" t="s">
        <v>70</v>
      </c>
      <c r="B13" s="29">
        <f>SUMPRODUCT(G13:G35,K13:K35)/SUM(K13:K35)</f>
        <v>175</v>
      </c>
      <c r="C13" s="22" t="s">
        <v>70</v>
      </c>
      <c r="D13" s="43">
        <f>AVERAGE(DonnéesEx3!A3:A102)</f>
        <v>174.97</v>
      </c>
      <c r="F13" s="30"/>
      <c r="G13" s="32">
        <f>AVERAGE(F12:F14)</f>
        <v>145</v>
      </c>
      <c r="H13" s="32">
        <f>K13*G13</f>
        <v>145</v>
      </c>
      <c r="I13" s="32">
        <f>H13*G13</f>
        <v>21025</v>
      </c>
      <c r="J13" s="33"/>
      <c r="K13" s="31">
        <v>1</v>
      </c>
    </row>
    <row r="14" spans="1:11">
      <c r="A14" s="22" t="s">
        <v>71</v>
      </c>
      <c r="B14" s="29">
        <f>MAX(F12:F36)-MIN(F12:F36)</f>
        <v>60</v>
      </c>
      <c r="C14" s="22" t="s">
        <v>71</v>
      </c>
      <c r="D14" s="43">
        <f>MAX(DonnéesEx3!A3:A102)-MIN(DonnéesEx3!A3:A102)</f>
        <v>57</v>
      </c>
      <c r="F14" s="30">
        <f>F12+$G$8</f>
        <v>147.5</v>
      </c>
      <c r="G14" s="32"/>
      <c r="H14" s="32"/>
      <c r="I14" s="32"/>
      <c r="J14" s="33">
        <f>J12+K13/K37</f>
        <v>0.01</v>
      </c>
      <c r="K14" s="32"/>
    </row>
    <row r="15" spans="1:11">
      <c r="A15" s="22" t="s">
        <v>72</v>
      </c>
      <c r="B15" s="29">
        <v>175</v>
      </c>
      <c r="C15" s="22" t="s">
        <v>73</v>
      </c>
      <c r="D15" s="43">
        <f>_xlfn.VAR.P(DonnéesEx3!A3:A102)</f>
        <v>102.02909999999999</v>
      </c>
      <c r="F15" s="30"/>
      <c r="G15" s="32">
        <f>AVERAGE(F14:F16)</f>
        <v>150</v>
      </c>
      <c r="H15" s="32">
        <f t="shared" ref="H15:H35" si="0">K15*G15</f>
        <v>150</v>
      </c>
      <c r="I15" s="32">
        <f t="shared" ref="I15:I35" si="1">H15*G15</f>
        <v>22500</v>
      </c>
      <c r="J15" s="33"/>
      <c r="K15" s="31">
        <v>1</v>
      </c>
    </row>
    <row r="16" spans="1:11">
      <c r="A16" s="22" t="s">
        <v>73</v>
      </c>
      <c r="B16" s="29">
        <f>I37/K37-B13*B13</f>
        <v>99.5</v>
      </c>
      <c r="C16" s="22" t="s">
        <v>74</v>
      </c>
      <c r="D16" s="43">
        <f>_xlfn.STDEV.P(DonnéesEx3!A3:A102)</f>
        <v>10.100945500298474</v>
      </c>
      <c r="F16" s="30">
        <f>F14+$G$8</f>
        <v>152.5</v>
      </c>
      <c r="G16" s="32"/>
      <c r="H16" s="32"/>
      <c r="I16" s="32"/>
      <c r="J16" s="33">
        <f>J14+K15/K$37</f>
        <v>0.02</v>
      </c>
      <c r="K16" s="32"/>
    </row>
    <row r="17" spans="1:13">
      <c r="A17" s="22" t="s">
        <v>74</v>
      </c>
      <c r="B17" s="34">
        <f>SQRT(B16)</f>
        <v>9.9749686716300019</v>
      </c>
      <c r="C17" s="35" t="s">
        <v>76</v>
      </c>
      <c r="D17" s="44">
        <f>D16/D13</f>
        <v>5.7729585073432441E-2</v>
      </c>
      <c r="F17" s="30"/>
      <c r="G17" s="32">
        <f>AVERAGE(F16:F18)</f>
        <v>155</v>
      </c>
      <c r="H17" s="32">
        <f t="shared" si="0"/>
        <v>155</v>
      </c>
      <c r="I17" s="32">
        <f t="shared" si="1"/>
        <v>24025</v>
      </c>
      <c r="J17" s="33"/>
      <c r="K17" s="31">
        <v>1</v>
      </c>
    </row>
    <row r="18" spans="1:13">
      <c r="A18" s="22" t="s">
        <v>75</v>
      </c>
      <c r="B18" s="29">
        <v>174.8</v>
      </c>
      <c r="C18" s="35" t="s">
        <v>78</v>
      </c>
      <c r="D18" s="44">
        <f>3*(D13-175)/D16</f>
        <v>-8.9100569840064956E-3</v>
      </c>
      <c r="F18" s="30">
        <f>F16+G8</f>
        <v>157.5</v>
      </c>
      <c r="G18" s="32"/>
      <c r="H18" s="32"/>
      <c r="I18" s="32"/>
      <c r="J18" s="33">
        <f t="shared" ref="J18:J36" si="2">J16+K17/K$37</f>
        <v>0.03</v>
      </c>
      <c r="K18" s="32"/>
    </row>
    <row r="19" spans="1:13">
      <c r="A19" s="22" t="s">
        <v>77</v>
      </c>
      <c r="B19" s="29">
        <v>26.5</v>
      </c>
      <c r="F19" s="30"/>
      <c r="G19" s="32">
        <f>AVERAGE(F18:F20)</f>
        <v>160</v>
      </c>
      <c r="H19" s="32">
        <f t="shared" si="0"/>
        <v>960</v>
      </c>
      <c r="I19" s="32">
        <f t="shared" si="1"/>
        <v>153600</v>
      </c>
      <c r="J19" s="33"/>
      <c r="K19" s="31">
        <v>6</v>
      </c>
    </row>
    <row r="20" spans="1:13">
      <c r="A20" s="22" t="s">
        <v>79</v>
      </c>
      <c r="B20" s="29">
        <v>12.1</v>
      </c>
      <c r="F20" s="30">
        <f>F18+$G$8</f>
        <v>162.5</v>
      </c>
      <c r="G20" s="32"/>
      <c r="H20" s="32"/>
      <c r="I20" s="32"/>
      <c r="J20" s="33">
        <f t="shared" si="2"/>
        <v>0.09</v>
      </c>
      <c r="K20" s="32"/>
    </row>
    <row r="21" spans="1:13">
      <c r="A21" s="36"/>
      <c r="B21" s="34"/>
      <c r="F21" s="30"/>
      <c r="G21" s="32">
        <f>AVERAGE(F20:F22)</f>
        <v>165</v>
      </c>
      <c r="H21" s="32">
        <f t="shared" si="0"/>
        <v>1980</v>
      </c>
      <c r="I21" s="32">
        <f t="shared" si="1"/>
        <v>326700</v>
      </c>
      <c r="J21" s="33"/>
      <c r="K21" s="31">
        <v>12</v>
      </c>
    </row>
    <row r="22" spans="1:13">
      <c r="A22" s="36"/>
      <c r="B22" s="34"/>
      <c r="F22" s="30">
        <f>F20+$G$8</f>
        <v>167.5</v>
      </c>
      <c r="G22" s="32"/>
      <c r="H22" s="32"/>
      <c r="I22" s="32"/>
      <c r="J22" s="33">
        <f t="shared" si="2"/>
        <v>0.21</v>
      </c>
      <c r="K22" s="32"/>
    </row>
    <row r="23" spans="1:13">
      <c r="A23" s="36"/>
      <c r="B23" s="15"/>
      <c r="F23" s="30"/>
      <c r="G23" s="32">
        <f>AVERAGE(F22:F24)</f>
        <v>170</v>
      </c>
      <c r="H23" s="32">
        <f t="shared" si="0"/>
        <v>2890</v>
      </c>
      <c r="I23" s="32">
        <f t="shared" si="1"/>
        <v>491300</v>
      </c>
      <c r="J23" s="33"/>
      <c r="K23" s="31">
        <v>17</v>
      </c>
    </row>
    <row r="24" spans="1:13">
      <c r="A24" s="36"/>
      <c r="B24" s="15"/>
      <c r="C24" s="15"/>
      <c r="F24" s="30">
        <f>F22+$G$8</f>
        <v>172.5</v>
      </c>
      <c r="G24" s="32"/>
      <c r="H24" s="32"/>
      <c r="I24" s="32"/>
      <c r="J24" s="33">
        <f t="shared" si="2"/>
        <v>0.38</v>
      </c>
      <c r="K24" s="32"/>
    </row>
    <row r="25" spans="1:13">
      <c r="A25" s="36"/>
      <c r="B25" s="15"/>
      <c r="F25" s="30"/>
      <c r="G25" s="32">
        <f>AVERAGE(F24:F26)</f>
        <v>175</v>
      </c>
      <c r="H25" s="32">
        <f t="shared" si="0"/>
        <v>4550</v>
      </c>
      <c r="I25" s="32">
        <f t="shared" si="1"/>
        <v>796250</v>
      </c>
      <c r="J25" s="33"/>
      <c r="K25" s="31">
        <v>26</v>
      </c>
    </row>
    <row r="26" spans="1:13">
      <c r="B26" s="15"/>
      <c r="F26" s="30">
        <f>F24+$G$8</f>
        <v>177.5</v>
      </c>
      <c r="G26" s="32"/>
      <c r="H26" s="32"/>
      <c r="I26" s="32"/>
      <c r="J26" s="33">
        <f t="shared" si="2"/>
        <v>0.64</v>
      </c>
      <c r="K26" s="32"/>
    </row>
    <row r="27" spans="1:13">
      <c r="B27" s="29"/>
      <c r="C27" s="15"/>
      <c r="F27" s="30"/>
      <c r="G27" s="32">
        <f>AVERAGE(F26:F28)</f>
        <v>180</v>
      </c>
      <c r="H27" s="32">
        <f t="shared" si="0"/>
        <v>3060</v>
      </c>
      <c r="I27" s="32">
        <f t="shared" si="1"/>
        <v>550800</v>
      </c>
      <c r="J27" s="33"/>
      <c r="K27" s="31">
        <v>17</v>
      </c>
    </row>
    <row r="28" spans="1:13">
      <c r="B28" s="15"/>
      <c r="C28" s="15"/>
      <c r="F28" s="30">
        <f>F26+$G$8</f>
        <v>182.5</v>
      </c>
      <c r="G28" s="32"/>
      <c r="H28" s="32"/>
      <c r="I28" s="32"/>
      <c r="J28" s="33">
        <f t="shared" si="2"/>
        <v>0.81</v>
      </c>
      <c r="K28" s="32"/>
    </row>
    <row r="29" spans="1:13">
      <c r="B29" s="15"/>
      <c r="F29" s="30"/>
      <c r="G29" s="32">
        <f>AVERAGE(F28:F30)</f>
        <v>185</v>
      </c>
      <c r="H29" s="32">
        <f t="shared" si="0"/>
        <v>1110</v>
      </c>
      <c r="I29" s="32">
        <f t="shared" si="1"/>
        <v>205350</v>
      </c>
      <c r="J29" s="33"/>
      <c r="K29" s="31">
        <v>6</v>
      </c>
    </row>
    <row r="30" spans="1:13">
      <c r="B30" s="15"/>
      <c r="C30" s="15"/>
      <c r="D30" s="15"/>
      <c r="F30" s="30">
        <f>F28+$G$8</f>
        <v>187.5</v>
      </c>
      <c r="G30" s="32"/>
      <c r="H30" s="32"/>
      <c r="I30" s="32"/>
      <c r="J30" s="33">
        <f t="shared" si="2"/>
        <v>0.87000000000000011</v>
      </c>
      <c r="K30" s="32"/>
    </row>
    <row r="31" spans="1:13">
      <c r="B31" s="15"/>
      <c r="C31" s="15"/>
      <c r="D31" s="15"/>
      <c r="F31" s="30"/>
      <c r="G31" s="32">
        <f>AVERAGE(F30:F32)</f>
        <v>190</v>
      </c>
      <c r="H31" s="32">
        <f t="shared" si="0"/>
        <v>1520</v>
      </c>
      <c r="I31" s="32">
        <f t="shared" si="1"/>
        <v>288800</v>
      </c>
      <c r="J31" s="33"/>
      <c r="K31" s="31">
        <v>8</v>
      </c>
      <c r="L31" s="15"/>
      <c r="M31" s="15"/>
    </row>
    <row r="32" spans="1:13">
      <c r="B32" s="15"/>
      <c r="C32" s="15"/>
      <c r="D32" s="15"/>
      <c r="F32" s="30">
        <f>F30+$G$8</f>
        <v>192.5</v>
      </c>
      <c r="G32" s="32"/>
      <c r="H32" s="32"/>
      <c r="I32" s="32"/>
      <c r="J32" s="33">
        <f t="shared" si="2"/>
        <v>0.95000000000000007</v>
      </c>
      <c r="K32" s="32"/>
      <c r="L32" s="15"/>
      <c r="M32" s="15"/>
    </row>
    <row r="33" spans="1:13">
      <c r="B33" s="15"/>
      <c r="C33" s="15"/>
      <c r="D33" s="15"/>
      <c r="F33" s="30"/>
      <c r="G33" s="32">
        <f>AVERAGE(F32:F34)</f>
        <v>195</v>
      </c>
      <c r="H33" s="32">
        <f t="shared" si="0"/>
        <v>780</v>
      </c>
      <c r="I33" s="32">
        <f t="shared" si="1"/>
        <v>152100</v>
      </c>
      <c r="J33" s="33"/>
      <c r="K33" s="31">
        <v>4</v>
      </c>
      <c r="L33" s="15"/>
      <c r="M33" s="15"/>
    </row>
    <row r="34" spans="1:13">
      <c r="B34" s="29"/>
      <c r="C34" s="15"/>
      <c r="D34" s="15"/>
      <c r="F34" s="30">
        <f>F32+$G$8</f>
        <v>197.5</v>
      </c>
      <c r="G34" s="32"/>
      <c r="H34" s="32"/>
      <c r="I34" s="32"/>
      <c r="J34" s="33">
        <f t="shared" si="2"/>
        <v>0.9900000000000001</v>
      </c>
      <c r="K34" s="32"/>
      <c r="L34" s="15"/>
      <c r="M34" s="15"/>
    </row>
    <row r="35" spans="1:13">
      <c r="A35" s="15"/>
      <c r="B35" s="15"/>
      <c r="C35" s="15"/>
      <c r="D35" s="15"/>
      <c r="F35" s="30"/>
      <c r="G35" s="32">
        <f>AVERAGE(F34:F36)</f>
        <v>200</v>
      </c>
      <c r="H35" s="32">
        <f t="shared" si="0"/>
        <v>200</v>
      </c>
      <c r="I35" s="32">
        <f t="shared" si="1"/>
        <v>40000</v>
      </c>
      <c r="J35" s="33"/>
      <c r="K35" s="31">
        <v>1</v>
      </c>
      <c r="L35" s="15"/>
      <c r="M35" s="15"/>
    </row>
    <row r="36" spans="1:13">
      <c r="A36" s="36"/>
      <c r="B36" s="15"/>
      <c r="C36" s="15"/>
      <c r="D36" s="15"/>
      <c r="F36" s="37">
        <f>F34+$G$8</f>
        <v>202.5</v>
      </c>
      <c r="G36" s="38"/>
      <c r="H36" s="39"/>
      <c r="I36" s="38"/>
      <c r="J36" s="38">
        <f t="shared" si="2"/>
        <v>1</v>
      </c>
      <c r="K36" s="38"/>
      <c r="L36" s="15"/>
      <c r="M36" s="15"/>
    </row>
    <row r="37" spans="1:13">
      <c r="A37" s="36"/>
      <c r="B37" s="15"/>
      <c r="C37" s="15"/>
      <c r="D37" s="15"/>
      <c r="F37" s="15"/>
      <c r="G37" s="15"/>
      <c r="H37" s="40">
        <f>SUM(H13:H36)</f>
        <v>17500</v>
      </c>
      <c r="I37" s="40">
        <f>SUM(I13:I36)</f>
        <v>3072450</v>
      </c>
      <c r="J37" s="15"/>
      <c r="K37" s="40">
        <f>SUM(K13:K36)</f>
        <v>100</v>
      </c>
      <c r="L37" s="15"/>
      <c r="M37" s="15"/>
    </row>
    <row r="38" spans="1:13">
      <c r="A38" s="36"/>
      <c r="B38" s="15"/>
      <c r="C38" s="15"/>
      <c r="D38" s="15"/>
      <c r="E38" s="15"/>
      <c r="F38" s="29"/>
      <c r="G38" s="15"/>
      <c r="H38" s="15"/>
      <c r="I38" s="15"/>
      <c r="J38" s="15"/>
      <c r="K38" s="15"/>
      <c r="L38" s="15"/>
      <c r="M38" s="15"/>
    </row>
    <row r="39" spans="1:13">
      <c r="A39" s="36"/>
      <c r="B39" s="15"/>
      <c r="C39" s="15"/>
      <c r="D39" s="15"/>
      <c r="E39" s="15"/>
      <c r="F39" s="41"/>
      <c r="G39" s="15"/>
      <c r="H39" s="42"/>
      <c r="I39" s="15"/>
      <c r="J39" s="15"/>
      <c r="K39" s="15"/>
      <c r="L39" s="15"/>
      <c r="M39" s="15"/>
    </row>
    <row r="41" spans="1:13">
      <c r="E41" s="45" t="s">
        <v>89</v>
      </c>
      <c r="F41" s="46">
        <f>_xlfn.QUARTILE.INC(DonnéesEx3!A3:A102,1)</f>
        <v>169</v>
      </c>
    </row>
    <row r="42" spans="1:13">
      <c r="E42" s="45" t="s">
        <v>90</v>
      </c>
      <c r="F42" s="46">
        <f>_xlfn.QUARTILE.INC(DonnéesEx3!A3:A102,2)</f>
        <v>175</v>
      </c>
    </row>
    <row r="43" spans="1:13">
      <c r="E43" s="45" t="s">
        <v>91</v>
      </c>
      <c r="F43" s="46">
        <f>_xlfn.QUARTILE.INC(DonnéesEx3!A3:A102,3)</f>
        <v>181</v>
      </c>
    </row>
    <row r="44" spans="1:13">
      <c r="E44" s="47" t="s">
        <v>92</v>
      </c>
      <c r="F44" s="48">
        <f>_xlfn.QUARTILE.INC(DonnéesEx3!A3:A102,4)</f>
        <v>201</v>
      </c>
    </row>
    <row r="45" spans="1:13">
      <c r="E45" s="51"/>
      <c r="F45" s="52"/>
    </row>
    <row r="46" spans="1:13">
      <c r="E46" s="49" t="s">
        <v>93</v>
      </c>
      <c r="F46" s="50">
        <f>_xlfn.PERCENTILE.INC(DonnéesEx3!A3:A102,0.1)</f>
        <v>163</v>
      </c>
    </row>
    <row r="47" spans="1:13">
      <c r="E47" s="45" t="s">
        <v>94</v>
      </c>
      <c r="F47" s="46">
        <f>_xlfn.PERCENTILE.INC(DonnéesEx3!A3:A102,0.9)</f>
        <v>189</v>
      </c>
    </row>
    <row r="59" spans="5:6">
      <c r="E59" s="21" t="s">
        <v>99</v>
      </c>
    </row>
    <row r="60" spans="5:6">
      <c r="E60" s="21" t="s">
        <v>95</v>
      </c>
      <c r="F60" s="21">
        <f>F41-1.5*(F43-F41)</f>
        <v>151</v>
      </c>
    </row>
    <row r="61" spans="5:6">
      <c r="E61" s="21" t="s">
        <v>96</v>
      </c>
      <c r="F61" s="21">
        <f>F43+1.5*(F43-F41)</f>
        <v>199</v>
      </c>
    </row>
    <row r="63" spans="5:6">
      <c r="E63" s="21" t="s">
        <v>97</v>
      </c>
      <c r="F63" s="21" t="s">
        <v>98</v>
      </c>
    </row>
    <row r="64" spans="5:6">
      <c r="E64" s="21" t="s">
        <v>100</v>
      </c>
      <c r="F64" s="21" t="s">
        <v>105</v>
      </c>
    </row>
    <row r="69" spans="4:6">
      <c r="D69" t="s">
        <v>101</v>
      </c>
      <c r="E69" t="s">
        <v>104</v>
      </c>
      <c r="F69" t="s">
        <v>103</v>
      </c>
    </row>
    <row r="70" spans="4:6">
      <c r="D70" s="3">
        <v>142.5</v>
      </c>
      <c r="E70">
        <v>0</v>
      </c>
      <c r="F70" s="53">
        <v>0</v>
      </c>
    </row>
    <row r="71" spans="4:6">
      <c r="D71" s="3">
        <v>147.5</v>
      </c>
      <c r="E71">
        <v>1</v>
      </c>
      <c r="F71" s="53">
        <v>0.01</v>
      </c>
    </row>
    <row r="72" spans="4:6">
      <c r="D72" s="3">
        <v>152.5</v>
      </c>
      <c r="E72">
        <v>1</v>
      </c>
      <c r="F72" s="53">
        <v>0.02</v>
      </c>
    </row>
    <row r="73" spans="4:6">
      <c r="D73" s="3">
        <v>157.5</v>
      </c>
      <c r="E73">
        <v>1</v>
      </c>
      <c r="F73" s="53">
        <v>0.03</v>
      </c>
    </row>
    <row r="74" spans="4:6">
      <c r="D74" s="3">
        <v>162.5</v>
      </c>
      <c r="E74">
        <v>6</v>
      </c>
      <c r="F74" s="53">
        <v>0.09</v>
      </c>
    </row>
    <row r="75" spans="4:6">
      <c r="D75" s="3">
        <v>167.5</v>
      </c>
      <c r="E75">
        <v>12</v>
      </c>
      <c r="F75" s="53">
        <v>0.21</v>
      </c>
    </row>
    <row r="76" spans="4:6">
      <c r="D76" s="3">
        <v>172.5</v>
      </c>
      <c r="E76">
        <v>17</v>
      </c>
      <c r="F76" s="53">
        <v>0.38</v>
      </c>
    </row>
    <row r="77" spans="4:6">
      <c r="D77" s="3">
        <v>177.5</v>
      </c>
      <c r="E77">
        <v>26</v>
      </c>
      <c r="F77" s="53">
        <v>0.64</v>
      </c>
    </row>
    <row r="78" spans="4:6">
      <c r="D78" s="3">
        <v>182.5</v>
      </c>
      <c r="E78">
        <v>17</v>
      </c>
      <c r="F78" s="53">
        <v>0.81</v>
      </c>
    </row>
    <row r="79" spans="4:6">
      <c r="D79" s="3">
        <v>187.5</v>
      </c>
      <c r="E79">
        <v>6</v>
      </c>
      <c r="F79" s="53">
        <v>0.87</v>
      </c>
    </row>
    <row r="80" spans="4:6">
      <c r="D80" s="3">
        <v>192.5</v>
      </c>
      <c r="E80">
        <v>8</v>
      </c>
      <c r="F80" s="53">
        <v>0.95</v>
      </c>
    </row>
    <row r="81" spans="4:6">
      <c r="D81" s="3">
        <v>197.5</v>
      </c>
      <c r="E81">
        <v>4</v>
      </c>
      <c r="F81" s="53">
        <v>0.99</v>
      </c>
    </row>
    <row r="82" spans="4:6">
      <c r="D82" s="3">
        <v>202.5</v>
      </c>
      <c r="E82">
        <v>1</v>
      </c>
      <c r="F82" s="53">
        <v>1</v>
      </c>
    </row>
    <row r="83" spans="4:6">
      <c r="D83" t="s">
        <v>102</v>
      </c>
      <c r="E83">
        <v>0</v>
      </c>
      <c r="F83" s="53">
        <v>1</v>
      </c>
    </row>
  </sheetData>
  <sortState xmlns:xlrd2="http://schemas.microsoft.com/office/spreadsheetml/2017/richdata2" ref="D70:D82">
    <sortCondition ref="D70"/>
  </sortState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B8AC-4703-4236-9C7B-67A9FE854D01}">
  <dimension ref="A1:H29"/>
  <sheetViews>
    <sheetView workbookViewId="0">
      <selection activeCell="C17" sqref="C17"/>
    </sheetView>
  </sheetViews>
  <sheetFormatPr baseColWidth="10" defaultRowHeight="13.2"/>
  <cols>
    <col min="1" max="1" width="11.6640625" style="9" customWidth="1"/>
    <col min="2" max="3" width="16.33203125" style="9" customWidth="1"/>
    <col min="4" max="5" width="12.44140625" style="9" customWidth="1"/>
    <col min="6" max="6" width="11.5546875" style="9"/>
    <col min="7" max="7" width="8.44140625" style="9" customWidth="1"/>
    <col min="8" max="8" width="39.33203125" style="9" customWidth="1"/>
    <col min="9" max="9" width="6.33203125" style="9" customWidth="1"/>
    <col min="10" max="10" width="24.44140625" style="9" customWidth="1"/>
    <col min="11" max="16384" width="11.5546875" style="9"/>
  </cols>
  <sheetData>
    <row r="1" spans="1:8" s="59" customFormat="1" ht="39.6">
      <c r="A1" s="60" t="s">
        <v>122</v>
      </c>
      <c r="B1" s="60" t="s">
        <v>121</v>
      </c>
      <c r="C1" s="60" t="s">
        <v>120</v>
      </c>
      <c r="D1" s="60" t="s">
        <v>119</v>
      </c>
      <c r="E1" s="60" t="s">
        <v>118</v>
      </c>
    </row>
    <row r="2" spans="1:8">
      <c r="A2" s="11">
        <v>1</v>
      </c>
      <c r="B2" s="11">
        <v>72</v>
      </c>
      <c r="C2" s="11">
        <v>90</v>
      </c>
      <c r="D2" s="58">
        <f>AnnalyseEx4!B$16*DonnéesEx4!B2+AnnalyseEx4!B$17</f>
        <v>91.441717791411037</v>
      </c>
      <c r="E2" s="58">
        <f>AnnalyseEx4!B$19*DonnéesEx4!C2+AnnalyseEx4!B$20</f>
        <v>70.737864077669911</v>
      </c>
      <c r="G2" s="18"/>
      <c r="H2" s="55"/>
    </row>
    <row r="3" spans="1:8">
      <c r="A3" s="11">
        <v>2</v>
      </c>
      <c r="B3" s="11">
        <v>60</v>
      </c>
      <c r="C3" s="11">
        <v>70</v>
      </c>
      <c r="D3" s="58">
        <f>AnnalyseEx4!B$16*DonnéesEx4!B3+AnnalyseEx4!B$17</f>
        <v>68.803680981595093</v>
      </c>
      <c r="E3" s="58">
        <f>AnnalyseEx4!B$19*DonnéesEx4!C3+AnnalyseEx4!B$20</f>
        <v>61.184466019417478</v>
      </c>
      <c r="G3" s="18"/>
      <c r="H3" s="55"/>
    </row>
    <row r="4" spans="1:8">
      <c r="A4" s="11">
        <v>3</v>
      </c>
      <c r="B4" s="11">
        <v>68</v>
      </c>
      <c r="C4" s="11">
        <v>80</v>
      </c>
      <c r="D4" s="58">
        <f>AnnalyseEx4!B$16*DonnéesEx4!B4+AnnalyseEx4!B$17</f>
        <v>83.895705521472394</v>
      </c>
      <c r="E4" s="58">
        <f>AnnalyseEx4!B$19*DonnéesEx4!C4+AnnalyseEx4!B$20</f>
        <v>65.961165048543691</v>
      </c>
      <c r="G4" s="56"/>
      <c r="H4" s="55"/>
    </row>
    <row r="5" spans="1:8">
      <c r="A5" s="11">
        <v>4</v>
      </c>
      <c r="B5" s="11">
        <v>66</v>
      </c>
      <c r="C5" s="11">
        <v>80</v>
      </c>
      <c r="D5" s="58">
        <f>AnnalyseEx4!B$16*DonnéesEx4!B5+AnnalyseEx4!B$17</f>
        <v>80.122699386503058</v>
      </c>
      <c r="E5" s="58">
        <f>AnnalyseEx4!B$19*DonnéesEx4!C5+AnnalyseEx4!B$20</f>
        <v>65.961165048543691</v>
      </c>
      <c r="G5" s="56"/>
      <c r="H5" s="55"/>
    </row>
    <row r="6" spans="1:8">
      <c r="A6" s="11">
        <v>5</v>
      </c>
      <c r="B6" s="11">
        <v>64</v>
      </c>
      <c r="C6" s="11">
        <v>75</v>
      </c>
      <c r="D6" s="58">
        <f>AnnalyseEx4!B$16*DonnéesEx4!B6+AnnalyseEx4!B$17</f>
        <v>76.349693251533736</v>
      </c>
      <c r="E6" s="58">
        <f>AnnalyseEx4!B$19*DonnéesEx4!C6+AnnalyseEx4!B$20</f>
        <v>63.572815533980588</v>
      </c>
      <c r="G6" s="18"/>
      <c r="H6" s="55"/>
    </row>
    <row r="7" spans="1:8">
      <c r="A7" s="11">
        <v>6</v>
      </c>
      <c r="B7" s="11">
        <v>62</v>
      </c>
      <c r="C7" s="11">
        <v>75</v>
      </c>
      <c r="D7" s="58">
        <f>AnnalyseEx4!B$16*DonnéesEx4!B7+AnnalyseEx4!B$17</f>
        <v>72.576687116564415</v>
      </c>
      <c r="E7" s="58">
        <f>AnnalyseEx4!B$19*DonnéesEx4!C7+AnnalyseEx4!B$20</f>
        <v>63.572815533980588</v>
      </c>
      <c r="G7" s="18"/>
      <c r="H7" s="55"/>
    </row>
    <row r="8" spans="1:8">
      <c r="A8" s="11">
        <v>7</v>
      </c>
      <c r="B8" s="11">
        <v>64</v>
      </c>
      <c r="C8" s="11">
        <v>80</v>
      </c>
      <c r="D8" s="58">
        <f>AnnalyseEx4!B$16*DonnéesEx4!B8+AnnalyseEx4!B$17</f>
        <v>76.349693251533736</v>
      </c>
      <c r="E8" s="58">
        <f>AnnalyseEx4!B$19*DonnéesEx4!C8+AnnalyseEx4!B$20</f>
        <v>65.961165048543691</v>
      </c>
      <c r="G8" s="56"/>
      <c r="H8" s="55"/>
    </row>
    <row r="9" spans="1:8">
      <c r="A9" s="11">
        <v>8</v>
      </c>
      <c r="B9" s="11">
        <v>70</v>
      </c>
      <c r="C9" s="11">
        <v>85</v>
      </c>
      <c r="D9" s="58">
        <f>AnnalyseEx4!B$16*DonnéesEx4!B9+AnnalyseEx4!B$17</f>
        <v>87.668711656441701</v>
      </c>
      <c r="E9" s="58">
        <f>AnnalyseEx4!B$19*DonnéesEx4!C9+AnnalyseEx4!B$20</f>
        <v>68.349514563106794</v>
      </c>
      <c r="G9" s="56"/>
      <c r="H9" s="55"/>
    </row>
    <row r="10" spans="1:8">
      <c r="A10" s="11">
        <v>9</v>
      </c>
      <c r="B10" s="11">
        <v>62</v>
      </c>
      <c r="C10" s="11">
        <v>70</v>
      </c>
      <c r="D10" s="58">
        <f>AnnalyseEx4!B$16*DonnéesEx4!B10+AnnalyseEx4!B$17</f>
        <v>72.576687116564415</v>
      </c>
      <c r="E10" s="58">
        <f>AnnalyseEx4!B$19*DonnéesEx4!C10+AnnalyseEx4!B$20</f>
        <v>61.184466019417478</v>
      </c>
      <c r="G10" s="18"/>
      <c r="H10" s="55"/>
    </row>
    <row r="11" spans="1:8">
      <c r="A11" s="11">
        <v>10</v>
      </c>
      <c r="B11" s="11">
        <v>74</v>
      </c>
      <c r="C11" s="11">
        <v>100</v>
      </c>
      <c r="D11" s="58">
        <f>AnnalyseEx4!B$16*DonnéesEx4!B11+AnnalyseEx4!B$17</f>
        <v>95.214723926380373</v>
      </c>
      <c r="E11" s="58">
        <f>AnnalyseEx4!B$19*DonnéesEx4!C11+AnnalyseEx4!B$20</f>
        <v>75.514563106796118</v>
      </c>
      <c r="G11" s="18"/>
      <c r="H11" s="55"/>
    </row>
    <row r="12" spans="1:8">
      <c r="G12" s="56"/>
      <c r="H12" s="55"/>
    </row>
    <row r="13" spans="1:8">
      <c r="A13" s="69" t="s">
        <v>141</v>
      </c>
      <c r="B13" s="69" t="s">
        <v>142</v>
      </c>
      <c r="C13" s="69" t="s">
        <v>142</v>
      </c>
      <c r="G13" s="56"/>
    </row>
    <row r="14" spans="1:8">
      <c r="A14" s="69" t="s">
        <v>26</v>
      </c>
      <c r="B14" s="69" t="s">
        <v>143</v>
      </c>
      <c r="C14" s="69" t="s">
        <v>143</v>
      </c>
      <c r="G14" s="56"/>
      <c r="H14" s="55"/>
    </row>
    <row r="15" spans="1:8">
      <c r="A15" s="69" t="s">
        <v>17</v>
      </c>
      <c r="B15" s="69" t="s">
        <v>144</v>
      </c>
      <c r="C15" s="69" t="s">
        <v>144</v>
      </c>
      <c r="G15" s="56"/>
    </row>
    <row r="16" spans="1:8">
      <c r="A16" s="69" t="s">
        <v>18</v>
      </c>
      <c r="B16" s="69" t="s">
        <v>145</v>
      </c>
      <c r="C16" s="69" t="s">
        <v>145</v>
      </c>
    </row>
    <row r="17" spans="6:8">
      <c r="G17" s="56"/>
      <c r="H17" s="55"/>
    </row>
    <row r="18" spans="6:8">
      <c r="G18" s="56"/>
      <c r="H18" s="55"/>
    </row>
    <row r="20" spans="6:8">
      <c r="G20" s="56"/>
    </row>
    <row r="21" spans="6:8">
      <c r="G21" s="56"/>
    </row>
    <row r="23" spans="6:8">
      <c r="G23" s="56"/>
      <c r="H23" s="57"/>
    </row>
    <row r="25" spans="6:8">
      <c r="F25" s="56"/>
      <c r="G25" s="56"/>
      <c r="H25" s="55"/>
    </row>
    <row r="26" spans="6:8">
      <c r="H26" s="55"/>
    </row>
    <row r="27" spans="6:8">
      <c r="H27" s="55"/>
    </row>
    <row r="29" spans="6:8">
      <c r="H29" s="54"/>
    </row>
  </sheetData>
  <pageMargins left="0.35433070866141736" right="0.31496062992125984" top="0.98425196850393704" bottom="0.70866141732283472" header="0.51181102362204722" footer="0.51181102362204722"/>
  <pageSetup paperSize="9" scale="96" orientation="landscape"/>
  <headerFooter>
    <oddHeader>&amp;C&amp;"Arial,Gras"&amp;F - &amp;A&amp;R&amp;D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7B53-F5A8-4FAD-B496-F4B26C37A24E}">
  <dimension ref="A1:D22"/>
  <sheetViews>
    <sheetView workbookViewId="0">
      <selection activeCell="J23" sqref="J23"/>
    </sheetView>
  </sheetViews>
  <sheetFormatPr baseColWidth="10" defaultRowHeight="14.4"/>
  <cols>
    <col min="1" max="1" width="12" bestFit="1" customWidth="1"/>
    <col min="5" max="5" width="19.5546875" bestFit="1" customWidth="1"/>
    <col min="6" max="6" width="32.33203125" bestFit="1" customWidth="1"/>
    <col min="7" max="7" width="40.5546875" bestFit="1" customWidth="1"/>
    <col min="8" max="8" width="4" bestFit="1" customWidth="1"/>
    <col min="9" max="12" width="3" bestFit="1" customWidth="1"/>
    <col min="13" max="13" width="4" bestFit="1" customWidth="1"/>
    <col min="14" max="14" width="11.88671875" bestFit="1" customWidth="1"/>
    <col min="15" max="15" width="7.6640625" bestFit="1" customWidth="1"/>
    <col min="16" max="16" width="5" bestFit="1" customWidth="1"/>
    <col min="17" max="17" width="7.6640625" bestFit="1" customWidth="1"/>
    <col min="18" max="18" width="5" bestFit="1" customWidth="1"/>
    <col min="19" max="19" width="7.6640625" bestFit="1" customWidth="1"/>
    <col min="20" max="20" width="5" bestFit="1" customWidth="1"/>
    <col min="21" max="21" width="7.6640625" bestFit="1" customWidth="1"/>
    <col min="22" max="22" width="5" bestFit="1" customWidth="1"/>
    <col min="23" max="23" width="7.6640625" bestFit="1" customWidth="1"/>
    <col min="24" max="24" width="11.88671875" bestFit="1" customWidth="1"/>
  </cols>
  <sheetData>
    <row r="1" spans="1:2">
      <c r="A1" s="9" t="s">
        <v>117</v>
      </c>
      <c r="B1">
        <f>AVERAGE(DonnéesEx4!B2:B11)</f>
        <v>66.2</v>
      </c>
    </row>
    <row r="2" spans="1:2">
      <c r="A2" s="9" t="s">
        <v>116</v>
      </c>
      <c r="B2">
        <f>AVERAGE(DonnéesEx4!C2:C11)</f>
        <v>80.5</v>
      </c>
    </row>
    <row r="3" spans="1:2">
      <c r="A3" s="9" t="s">
        <v>115</v>
      </c>
      <c r="B3">
        <f>_xlfn.VAR.P(DonnéesEx4!B2:B11)</f>
        <v>19.560000000000002</v>
      </c>
    </row>
    <row r="4" spans="1:2">
      <c r="A4" s="9"/>
    </row>
    <row r="5" spans="1:2">
      <c r="A5" s="9" t="s">
        <v>114</v>
      </c>
      <c r="B5" s="8">
        <f>SQRT(B3)</f>
        <v>4.4226688774991967</v>
      </c>
    </row>
    <row r="6" spans="1:2">
      <c r="A6" s="9"/>
    </row>
    <row r="7" spans="1:2">
      <c r="A7" s="9" t="s">
        <v>113</v>
      </c>
      <c r="B7">
        <f>_xlfn.VAR.P(DonnéesEx4!C2:C11)</f>
        <v>77.25</v>
      </c>
    </row>
    <row r="8" spans="1:2">
      <c r="A8" s="9"/>
    </row>
    <row r="9" spans="1:2">
      <c r="A9" s="9" t="s">
        <v>112</v>
      </c>
      <c r="B9" s="8">
        <f>SQRT(B7)</f>
        <v>8.7891979156234736</v>
      </c>
    </row>
    <row r="10" spans="1:2">
      <c r="A10" s="9"/>
    </row>
    <row r="11" spans="1:2">
      <c r="A11" s="9" t="s">
        <v>111</v>
      </c>
      <c r="B11">
        <f>_xlfn.COVARIANCE.P(DonnéesEx4!B2:B11,DonnéesEx4!C2:C11)</f>
        <v>36.9</v>
      </c>
    </row>
    <row r="12" spans="1:2">
      <c r="A12" s="9"/>
    </row>
    <row r="13" spans="1:2">
      <c r="A13" s="9" t="s">
        <v>110</v>
      </c>
      <c r="B13" s="8">
        <f>B11/(B5*B9)</f>
        <v>0.94927642817556612</v>
      </c>
    </row>
    <row r="14" spans="1:2">
      <c r="A14" s="9" t="s">
        <v>125</v>
      </c>
      <c r="B14" s="8">
        <f>B13*B13</f>
        <v>0.90112573708976074</v>
      </c>
    </row>
    <row r="15" spans="1:2">
      <c r="A15" s="9"/>
    </row>
    <row r="16" spans="1:2">
      <c r="A16" s="9" t="s">
        <v>109</v>
      </c>
      <c r="B16" s="8">
        <f>B11/B3</f>
        <v>1.8865030674846623</v>
      </c>
    </row>
    <row r="17" spans="1:4">
      <c r="A17" s="9" t="s">
        <v>108</v>
      </c>
      <c r="B17" s="8">
        <f>B2-B16*B1</f>
        <v>-44.386503067484654</v>
      </c>
    </row>
    <row r="18" spans="1:4">
      <c r="A18" s="9"/>
      <c r="B18" s="8"/>
    </row>
    <row r="19" spans="1:4">
      <c r="A19" s="9" t="s">
        <v>107</v>
      </c>
      <c r="B19" s="8">
        <f>B11/B7</f>
        <v>0.47766990291262135</v>
      </c>
      <c r="D19" t="s">
        <v>127</v>
      </c>
    </row>
    <row r="20" spans="1:4">
      <c r="A20" s="9" t="s">
        <v>106</v>
      </c>
      <c r="B20" s="8">
        <f>B1-B19*B2</f>
        <v>27.747572815533985</v>
      </c>
    </row>
    <row r="21" spans="1:4">
      <c r="A21" s="9"/>
    </row>
    <row r="22" spans="1:4">
      <c r="A22" s="9" t="s">
        <v>126</v>
      </c>
      <c r="B22" s="8">
        <f>B16*B19</f>
        <v>0.90112573708976107</v>
      </c>
      <c r="C22" t="s">
        <v>128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0F12-EE3C-48B3-A740-C6150E43FF07}">
  <dimension ref="A1:E11"/>
  <sheetViews>
    <sheetView workbookViewId="0">
      <selection activeCell="F29" sqref="F29"/>
    </sheetView>
  </sheetViews>
  <sheetFormatPr baseColWidth="10" defaultRowHeight="13.2"/>
  <cols>
    <col min="1" max="1" width="11.6640625" style="9" customWidth="1"/>
    <col min="2" max="5" width="12.44140625" style="9" customWidth="1"/>
    <col min="6" max="6" width="29.109375" style="9" customWidth="1"/>
    <col min="7" max="16384" width="11.5546875" style="9"/>
  </cols>
  <sheetData>
    <row r="1" spans="1:5" s="59" customFormat="1">
      <c r="A1" s="66" t="s">
        <v>124</v>
      </c>
      <c r="B1" s="65" t="s">
        <v>123</v>
      </c>
      <c r="C1" s="60" t="s">
        <v>129</v>
      </c>
      <c r="D1" s="60" t="s">
        <v>130</v>
      </c>
      <c r="E1" s="60"/>
    </row>
    <row r="2" spans="1:5">
      <c r="A2" s="64">
        <v>54.3</v>
      </c>
      <c r="B2" s="63">
        <v>61.2</v>
      </c>
      <c r="C2" s="58">
        <f>LN(A2)</f>
        <v>3.9945242269398897</v>
      </c>
      <c r="D2" s="58">
        <f>LN(B2)</f>
        <v>4.1141471895182802</v>
      </c>
      <c r="E2" s="58"/>
    </row>
    <row r="3" spans="1:5">
      <c r="A3" s="64">
        <v>61.8</v>
      </c>
      <c r="B3" s="63">
        <v>49.5</v>
      </c>
      <c r="C3" s="58">
        <f t="shared" ref="C3:C7" si="0">LN(A3)</f>
        <v>4.1239033644636454</v>
      </c>
      <c r="D3" s="58">
        <f t="shared" ref="D3:D7" si="1">LN(B3)</f>
        <v>3.9019726695746448</v>
      </c>
      <c r="E3" s="58"/>
    </row>
    <row r="4" spans="1:5">
      <c r="A4" s="64">
        <v>72.400000000000006</v>
      </c>
      <c r="B4" s="63">
        <v>37.6</v>
      </c>
      <c r="C4" s="58">
        <f t="shared" si="0"/>
        <v>4.282206299391671</v>
      </c>
      <c r="D4" s="58">
        <f t="shared" si="1"/>
        <v>3.6270040503958487</v>
      </c>
      <c r="E4" s="58"/>
    </row>
    <row r="5" spans="1:5">
      <c r="A5" s="64">
        <v>88.7</v>
      </c>
      <c r="B5" s="63">
        <v>28.4</v>
      </c>
      <c r="C5" s="58">
        <f t="shared" si="0"/>
        <v>4.4852598893155342</v>
      </c>
      <c r="D5" s="58">
        <f t="shared" si="1"/>
        <v>3.3463891451671604</v>
      </c>
      <c r="E5" s="58"/>
    </row>
    <row r="6" spans="1:5">
      <c r="A6" s="64">
        <v>118.6</v>
      </c>
      <c r="B6" s="63">
        <v>19.2</v>
      </c>
      <c r="C6" s="58">
        <f t="shared" si="0"/>
        <v>4.7757564865636253</v>
      </c>
      <c r="D6" s="58">
        <f t="shared" si="1"/>
        <v>2.954910279033736</v>
      </c>
      <c r="E6" s="58"/>
    </row>
    <row r="7" spans="1:5">
      <c r="A7" s="62">
        <v>194</v>
      </c>
      <c r="B7" s="61">
        <v>10.1</v>
      </c>
      <c r="C7" s="58">
        <f t="shared" si="0"/>
        <v>5.2678581590633282</v>
      </c>
      <c r="D7" s="58">
        <f t="shared" si="1"/>
        <v>2.3125354238472138</v>
      </c>
      <c r="E7" s="58"/>
    </row>
    <row r="8" spans="1:5">
      <c r="A8" s="11"/>
      <c r="B8" s="11"/>
      <c r="C8" s="11"/>
      <c r="D8" s="58"/>
      <c r="E8" s="58"/>
    </row>
    <row r="9" spans="1:5">
      <c r="A9" s="11"/>
      <c r="B9" s="11"/>
      <c r="C9" s="11"/>
      <c r="D9" s="58"/>
      <c r="E9" s="58"/>
    </row>
    <row r="10" spans="1:5">
      <c r="A10" s="11"/>
      <c r="B10" s="11"/>
      <c r="C10" s="11"/>
      <c r="D10" s="58"/>
      <c r="E10" s="58"/>
    </row>
    <row r="11" spans="1:5">
      <c r="A11" s="11"/>
      <c r="B11" s="11"/>
      <c r="C11" s="11"/>
      <c r="D11" s="58"/>
      <c r="E11" s="58"/>
    </row>
  </sheetData>
  <pageMargins left="0.35433070866141736" right="0.31496062992125984" top="0.98425196850393704" bottom="0.70866141732283472" header="0.51181102362204722" footer="0.51181102362204722"/>
  <pageSetup paperSize="9" scale="97" orientation="landscape"/>
  <headerFooter>
    <oddHeader>&amp;C&amp;"Arial,Gras"&amp;F - &amp;A&amp;R&amp;D</oddHead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DC12-EE74-45B1-992D-A57C4C3E018E}">
  <dimension ref="B5:N29"/>
  <sheetViews>
    <sheetView workbookViewId="0">
      <selection activeCell="G20" sqref="G20"/>
    </sheetView>
  </sheetViews>
  <sheetFormatPr baseColWidth="10" defaultRowHeight="14.4"/>
  <cols>
    <col min="2" max="2" width="13.6640625" bestFit="1" customWidth="1"/>
  </cols>
  <sheetData>
    <row r="5" spans="13:14">
      <c r="M5" s="7" t="s">
        <v>133</v>
      </c>
      <c r="N5">
        <v>-1.4041999999999999</v>
      </c>
    </row>
    <row r="6" spans="13:14">
      <c r="M6" s="7" t="s">
        <v>134</v>
      </c>
      <c r="N6">
        <v>9.6785999999999994</v>
      </c>
    </row>
    <row r="7" spans="13:14">
      <c r="M7" s="7" t="s">
        <v>135</v>
      </c>
      <c r="N7">
        <v>0.99719999999999998</v>
      </c>
    </row>
    <row r="21" spans="2:3">
      <c r="B21" t="s">
        <v>131</v>
      </c>
      <c r="C21">
        <f>-N5</f>
        <v>1.4041999999999999</v>
      </c>
    </row>
    <row r="22" spans="2:3">
      <c r="B22" t="s">
        <v>132</v>
      </c>
      <c r="C22" s="68">
        <f>EXP(N6)</f>
        <v>15972.120298632361</v>
      </c>
    </row>
    <row r="24" spans="2:3">
      <c r="B24" t="s">
        <v>136</v>
      </c>
      <c r="C24">
        <v>100</v>
      </c>
    </row>
    <row r="25" spans="2:3">
      <c r="B25" t="s">
        <v>137</v>
      </c>
      <c r="C25" s="8">
        <f>LN(C24)</f>
        <v>4.6051701859880918</v>
      </c>
    </row>
    <row r="26" spans="2:3">
      <c r="B26" t="s">
        <v>138</v>
      </c>
      <c r="C26" s="8">
        <f>N5*C25+N6</f>
        <v>3.2120200248355211</v>
      </c>
    </row>
    <row r="27" spans="2:3">
      <c r="B27" t="s">
        <v>139</v>
      </c>
      <c r="C27" s="8">
        <f>EXP(C26)</f>
        <v>24.829191183756059</v>
      </c>
    </row>
    <row r="29" spans="2:3">
      <c r="B29" t="s">
        <v>140</v>
      </c>
      <c r="C29" s="67">
        <f>SQRT(N7)</f>
        <v>0.9985990186255943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DonnéesEx1</vt:lpstr>
      <vt:lpstr>AnnalyseEx1</vt:lpstr>
      <vt:lpstr>DonnéesEx2</vt:lpstr>
      <vt:lpstr>AnnalyseEx2</vt:lpstr>
      <vt:lpstr>DonnéesEx3</vt:lpstr>
      <vt:lpstr>AnnalyseEx3</vt:lpstr>
      <vt:lpstr>DonnéesEx4</vt:lpstr>
      <vt:lpstr>AnnalyseEx4</vt:lpstr>
      <vt:lpstr>DonnéesEx5</vt:lpstr>
      <vt:lpstr>AnnalyseEx5</vt:lpstr>
      <vt:lpstr>DonnéesEx3!Zone_d_impression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Bluem Juliette</dc:creator>
  <cp:lastModifiedBy>Bluem Juliette</cp:lastModifiedBy>
  <dcterms:created xsi:type="dcterms:W3CDTF">2021-01-11T14:20:40Z</dcterms:created>
  <dcterms:modified xsi:type="dcterms:W3CDTF">2021-01-29T06:35:23Z</dcterms:modified>
</cp:coreProperties>
</file>