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-christine/Desktop/"/>
    </mc:Choice>
  </mc:AlternateContent>
  <xr:revisionPtr revIDLastSave="0" documentId="13_ncr:1_{A3A2EEF8-403E-B345-9202-048E257BF8FB}" xr6:coauthVersionLast="36" xr6:coauthVersionMax="36" xr10:uidLastSave="{00000000-0000-0000-0000-000000000000}"/>
  <bookViews>
    <workbookView xWindow="780" yWindow="960" windowWidth="27640" windowHeight="16200" xr2:uid="{B8BED9FB-4245-C548-B50E-4C0DD2BA1134}"/>
  </bookViews>
  <sheets>
    <sheet name="1.1" sheetId="1" r:id="rId1"/>
    <sheet name="1.2" sheetId="2" r:id="rId2"/>
    <sheet name="1.3" sheetId="3" r:id="rId3"/>
  </sheets>
  <externalReferences>
    <externalReference r:id="rId4"/>
  </externalReferences>
  <definedNames>
    <definedName name="_xlchart.v1.0" hidden="1">'1.3'!$A$10</definedName>
    <definedName name="_xlchart.v1.1" hidden="1">'1.3'!$A$11:$A$110</definedName>
    <definedName name="_xlchart.v1.2" hidden="1">'1.3'!$A$11:$A$110</definedName>
    <definedName name="n" localSheetId="2">#REF!</definedName>
    <definedName name="n">'1.1'!$J$10</definedName>
    <definedName name="_xlnm.Print_Area" localSheetId="0">'1.1'!$A$1:$N$62</definedName>
    <definedName name="_xlnm.Print_Area" localSheetId="1">'1.2'!$A$1:$M$41</definedName>
    <definedName name="_xlnm.Print_Area" localSheetId="2">'1.3'!$A$1:$Z$145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3" l="1"/>
  <c r="T75" i="3"/>
  <c r="T80" i="3" s="1"/>
  <c r="T74" i="3"/>
  <c r="T73" i="3"/>
  <c r="T79" i="3" s="1"/>
  <c r="H71" i="3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T70" i="3"/>
  <c r="T69" i="3"/>
  <c r="I67" i="3"/>
  <c r="I65" i="3"/>
  <c r="D62" i="3"/>
  <c r="I60" i="3"/>
  <c r="I58" i="3"/>
  <c r="T57" i="3"/>
  <c r="T56" i="3"/>
  <c r="T58" i="3" s="1"/>
  <c r="T55" i="3"/>
  <c r="D55" i="3"/>
  <c r="T54" i="3"/>
  <c r="T53" i="3"/>
  <c r="I53" i="3"/>
  <c r="T52" i="3"/>
  <c r="T51" i="3"/>
  <c r="T50" i="3"/>
  <c r="T49" i="3"/>
  <c r="T48" i="3"/>
  <c r="T47" i="3"/>
  <c r="P48" i="3" s="1"/>
  <c r="P50" i="3" s="1"/>
  <c r="P54" i="3" s="1"/>
  <c r="T46" i="3"/>
  <c r="T45" i="3"/>
  <c r="T44" i="3"/>
  <c r="P52" i="3" s="1"/>
  <c r="P44" i="3"/>
  <c r="T43" i="3"/>
  <c r="E43" i="3"/>
  <c r="P42" i="3"/>
  <c r="G37" i="3"/>
  <c r="E36" i="3"/>
  <c r="H34" i="3"/>
  <c r="G34" i="3"/>
  <c r="H32" i="3"/>
  <c r="G32" i="3"/>
  <c r="H30" i="3"/>
  <c r="G30" i="3"/>
  <c r="H28" i="3"/>
  <c r="G28" i="3"/>
  <c r="H26" i="3"/>
  <c r="G26" i="3"/>
  <c r="H24" i="3"/>
  <c r="G24" i="3"/>
  <c r="H22" i="3"/>
  <c r="G22" i="3"/>
  <c r="H20" i="3"/>
  <c r="G20" i="3"/>
  <c r="H18" i="3"/>
  <c r="G18" i="3"/>
  <c r="H16" i="3"/>
  <c r="G16" i="3"/>
  <c r="H14" i="3"/>
  <c r="G14" i="3"/>
  <c r="I13" i="3"/>
  <c r="I15" i="3" s="1"/>
  <c r="I17" i="3" s="1"/>
  <c r="I19" i="3" s="1"/>
  <c r="I21" i="3" s="1"/>
  <c r="I23" i="3" s="1"/>
  <c r="I25" i="3" s="1"/>
  <c r="I27" i="3" s="1"/>
  <c r="I29" i="3" s="1"/>
  <c r="I31" i="3" s="1"/>
  <c r="I33" i="3" s="1"/>
  <c r="I35" i="3" s="1"/>
  <c r="D13" i="3"/>
  <c r="D15" i="3" s="1"/>
  <c r="D17" i="3" s="1"/>
  <c r="D19" i="3" s="1"/>
  <c r="D21" i="3" s="1"/>
  <c r="D23" i="3" s="1"/>
  <c r="D25" i="3" s="1"/>
  <c r="D27" i="3" s="1"/>
  <c r="D29" i="3" s="1"/>
  <c r="D31" i="3" s="1"/>
  <c r="D33" i="3" s="1"/>
  <c r="D35" i="3" s="1"/>
  <c r="H12" i="3"/>
  <c r="H36" i="3" s="1"/>
  <c r="D47" i="3" s="1"/>
  <c r="D49" i="3" s="1"/>
  <c r="G12" i="3"/>
  <c r="G36" i="3" s="1"/>
  <c r="D41" i="3" s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E7" i="3"/>
  <c r="E6" i="3"/>
  <c r="F17" i="2"/>
  <c r="B18" i="2" s="1"/>
  <c r="B16" i="2"/>
  <c r="D12" i="2" s="1"/>
  <c r="G15" i="2"/>
  <c r="F15" i="2"/>
  <c r="D15" i="2"/>
  <c r="G14" i="2"/>
  <c r="F14" i="2"/>
  <c r="D14" i="2"/>
  <c r="G13" i="2"/>
  <c r="F13" i="2"/>
  <c r="D13" i="2"/>
  <c r="G12" i="2"/>
  <c r="F12" i="2"/>
  <c r="G11" i="2"/>
  <c r="F11" i="2"/>
  <c r="F16" i="2" s="1"/>
  <c r="D11" i="2"/>
  <c r="G10" i="2"/>
  <c r="G16" i="2" s="1"/>
  <c r="B21" i="2" s="1"/>
  <c r="B22" i="2" s="1"/>
  <c r="F10" i="2"/>
  <c r="D10" i="2"/>
  <c r="C10" i="2"/>
  <c r="E10" i="2" s="1"/>
  <c r="G9" i="2"/>
  <c r="F9" i="2"/>
  <c r="E9" i="2"/>
  <c r="D9" i="2"/>
  <c r="D16" i="2" s="1"/>
  <c r="H11" i="1"/>
  <c r="G11" i="1"/>
  <c r="D11" i="1"/>
  <c r="C11" i="1"/>
  <c r="J10" i="1"/>
  <c r="F11" i="1" s="1"/>
  <c r="P59" i="3" l="1"/>
  <c r="P58" i="3"/>
  <c r="C11" i="2"/>
  <c r="E11" i="1"/>
  <c r="I11" i="1"/>
  <c r="B11" i="1"/>
  <c r="J11" i="1" s="1"/>
  <c r="E11" i="2" l="1"/>
  <c r="C12" i="2"/>
  <c r="C13" i="2" l="1"/>
  <c r="E12" i="2"/>
  <c r="E13" i="2" l="1"/>
  <c r="C14" i="2"/>
  <c r="E14" i="2" l="1"/>
  <c r="C15" i="2"/>
  <c r="E15" i="2" s="1"/>
</calcChain>
</file>

<file path=xl/sharedStrings.xml><?xml version="1.0" encoding="utf-8"?>
<sst xmlns="http://schemas.openxmlformats.org/spreadsheetml/2006/main" count="220" uniqueCount="182">
  <si>
    <t>Caractère :</t>
  </si>
  <si>
    <t>Sport préféré (qualitatif nominal)</t>
  </si>
  <si>
    <t>Individu :</t>
  </si>
  <si>
    <t>1 étudiant</t>
  </si>
  <si>
    <t>Echantillon :</t>
  </si>
  <si>
    <t>28 étudiants</t>
    <phoneticPr fontId="0" type="noConversion"/>
  </si>
  <si>
    <t>Population :</t>
  </si>
  <si>
    <t>Tous les étudiants de PN</t>
  </si>
  <si>
    <t>Mise en ordre des données</t>
    <phoneticPr fontId="0" type="noConversion"/>
  </si>
  <si>
    <t>Sport préféré xi</t>
  </si>
  <si>
    <t>Tennis</t>
    <phoneticPr fontId="0" type="noConversion"/>
  </si>
  <si>
    <t>Football</t>
    <phoneticPr fontId="0" type="noConversion"/>
  </si>
  <si>
    <t xml:space="preserve">Basket </t>
    <phoneticPr fontId="0" type="noConversion"/>
  </si>
  <si>
    <t>Ski</t>
    <phoneticPr fontId="0" type="noConversion"/>
  </si>
  <si>
    <t>VTT</t>
    <phoneticPr fontId="0" type="noConversion"/>
  </si>
  <si>
    <t>Ping-pong</t>
    <phoneticPr fontId="0" type="noConversion"/>
  </si>
  <si>
    <t>Natation</t>
    <phoneticPr fontId="0" type="noConversion"/>
  </si>
  <si>
    <t>Aucun</t>
    <phoneticPr fontId="0" type="noConversion"/>
  </si>
  <si>
    <t>TOTAL</t>
  </si>
  <si>
    <t>Effectifs ni</t>
  </si>
  <si>
    <t>Fréquences fi</t>
    <phoneticPr fontId="0" type="noConversion"/>
  </si>
  <si>
    <t>Diagramme en barres</t>
    <phoneticPr fontId="0" type="noConversion"/>
  </si>
  <si>
    <t>Diagramme en secteurs</t>
    <phoneticPr fontId="0" type="noConversion"/>
  </si>
  <si>
    <t>Interprétation</t>
    <phoneticPr fontId="0" type="noConversion"/>
  </si>
  <si>
    <t>Le sport préféré par les étudiants est le football.</t>
    <phoneticPr fontId="0" type="noConversion"/>
  </si>
  <si>
    <t>Le ski est le sport préféré par un étudiant.</t>
    <phoneticPr fontId="0" type="noConversion"/>
  </si>
  <si>
    <t>Le basket et la natation sont cités autant de fois.</t>
  </si>
  <si>
    <t>Deux étudiants n'ont indiqué aucun sport préféré.</t>
    <phoneticPr fontId="0" type="noConversion"/>
  </si>
  <si>
    <t>Par ordre de préférence, les sports préférés sont : football suivi de près par le  VTT puis le tennis. Viennent ensuite le ping-pong puis le basket et la natation, le dernier sport cité est le ski.</t>
    <phoneticPr fontId="0" type="noConversion"/>
  </si>
  <si>
    <t>Il faut être prudent dans l'interprétation car les effectifs sont très faibles.</t>
  </si>
  <si>
    <t>Nombre de pièces défectueuses par groupe (quantitatif, discontinu)</t>
  </si>
  <si>
    <t>1 groupe de 50 pièces</t>
  </si>
  <si>
    <t>50 groupes de 50 pièces</t>
  </si>
  <si>
    <t>Tous les groupes de 50 pièces</t>
  </si>
  <si>
    <t>Diagramme en bâtons</t>
  </si>
  <si>
    <t>Pr (X = xi)</t>
  </si>
  <si>
    <t>Pr (X ≤ xi)</t>
  </si>
  <si>
    <t>Nombre de pièces défectueuses xi</t>
  </si>
  <si>
    <t>Nombre de groupes ni</t>
  </si>
  <si>
    <t>Effectif cumulé (ni)c</t>
  </si>
  <si>
    <t>Fréquence fi</t>
  </si>
  <si>
    <t>Fréquence cumulée fc=(ni)c/50</t>
  </si>
  <si>
    <t>ni.xi</t>
  </si>
  <si>
    <t>ni.xi.xi</t>
  </si>
  <si>
    <t>Somme des ni =</t>
  </si>
  <si>
    <t>Diagramme en escalier (fréquences cumulées)</t>
  </si>
  <si>
    <t>Moyenne :</t>
  </si>
  <si>
    <t>pièces défectueuses par groupe</t>
  </si>
  <si>
    <t>Etendue :</t>
  </si>
  <si>
    <t>Mode :</t>
  </si>
  <si>
    <t>Variance :</t>
  </si>
  <si>
    <t>Ecart-type :</t>
  </si>
  <si>
    <t>pièce défectueuse par groupe</t>
  </si>
  <si>
    <t>Médiane :</t>
  </si>
  <si>
    <t>moyenne de la 25e donnée et de la 26e donnée, les données étant classées par ordre croissant</t>
  </si>
  <si>
    <t>ou pas de médiane (la valeur de la médiane doit correspondre à une valeur)</t>
  </si>
  <si>
    <t xml:space="preserve">ou ]1 ; 2[  intervalle médian entre 1 et 2 </t>
  </si>
  <si>
    <t>ou 1,5 (centre intervalle médian)</t>
    <phoneticPr fontId="0" type="noConversion"/>
  </si>
  <si>
    <t xml:space="preserve">Moyenne à peu près égale à variance. </t>
  </si>
  <si>
    <t>Le caractère suit une loi binomiale de paramètres 50 et p.</t>
  </si>
  <si>
    <t>On pourrait approximer cette loi binomiale par une loi de Poisson de paramètre 2,02 (phénomène binomial rare).</t>
  </si>
  <si>
    <t>X suit</t>
  </si>
  <si>
    <t>B (50 ; p)</t>
  </si>
  <si>
    <t>E(X) = 50 p</t>
  </si>
  <si>
    <t>Approximation de la loi binomiale par la loi de Poisson</t>
  </si>
  <si>
    <t>n grand, p faible</t>
  </si>
  <si>
    <t>50 p (1 - p) ≤ 10     ou    p ≤ 0,1    et 1 ≤ 50 p ≤ 10</t>
  </si>
  <si>
    <r>
      <t>P (</t>
    </r>
    <r>
      <rPr>
        <sz val="10"/>
        <rFont val="Symbol"/>
        <charset val="2"/>
      </rPr>
      <t>m</t>
    </r>
    <r>
      <rPr>
        <sz val="10"/>
        <rFont val="Arial"/>
        <family val="2"/>
      </rPr>
      <t>)</t>
    </r>
  </si>
  <si>
    <t>avec</t>
  </si>
  <si>
    <r>
      <t xml:space="preserve">E(X) = </t>
    </r>
    <r>
      <rPr>
        <sz val="10"/>
        <rFont val="Symbol"/>
        <charset val="2"/>
      </rPr>
      <t>m</t>
    </r>
    <r>
      <rPr>
        <sz val="10"/>
        <rFont val="Arial"/>
        <family val="2"/>
      </rPr>
      <t xml:space="preserve"> = 50 p</t>
    </r>
  </si>
  <si>
    <t>Estimation de p par la méthode des moments : on identifie l'espérance de la loi théorique avec la moyenne de la distribution expérimentale</t>
  </si>
  <si>
    <t>E(X) = 50 p = 2,02</t>
  </si>
  <si>
    <t>d'où</t>
  </si>
  <si>
    <r>
      <t>p</t>
    </r>
    <r>
      <rPr>
        <vertAlign val="subscript"/>
        <sz val="10"/>
        <rFont val="Arial"/>
        <family val="2"/>
      </rPr>
      <t>estimé</t>
    </r>
    <r>
      <rPr>
        <sz val="10"/>
        <rFont val="Arial"/>
        <family val="2"/>
      </rPr>
      <t xml:space="preserve"> = 2,02/50 = 0,0404</t>
    </r>
  </si>
  <si>
    <t>Masse (quantitatif, continu)</t>
    <phoneticPr fontId="0" type="noConversion"/>
  </si>
  <si>
    <t>Un fromage</t>
  </si>
  <si>
    <t>100 fromages</t>
  </si>
  <si>
    <t>Tous les fromages produits</t>
  </si>
  <si>
    <t>q entre 5 et 20</t>
  </si>
  <si>
    <t>Nombre de classes :</t>
    <phoneticPr fontId="0" type="noConversion"/>
  </si>
  <si>
    <t>q = Racine (n) =</t>
  </si>
  <si>
    <r>
      <t>Ampliture des classes :</t>
    </r>
    <r>
      <rPr>
        <sz val="10"/>
        <rFont val="Arial"/>
        <family val="2"/>
      </rPr>
      <t xml:space="preserve"> E/q</t>
    </r>
  </si>
  <si>
    <t xml:space="preserve">avec </t>
    <phoneticPr fontId="0" type="noConversion"/>
  </si>
  <si>
    <t>E = 201-144 = 57 g</t>
    <phoneticPr fontId="0" type="noConversion"/>
  </si>
  <si>
    <t>Formule de Sturges :</t>
  </si>
  <si>
    <t>q = 1+3,322 log n =</t>
  </si>
  <si>
    <t>On décide arbitrairement de faire 12 classes de hauteur 5 g. Ce choix respecte les critères vus en cours.</t>
    <phoneticPr fontId="0" type="noConversion"/>
  </si>
  <si>
    <t>Masse</t>
  </si>
  <si>
    <t>Bornes de classes</t>
  </si>
  <si>
    <r>
      <t>Borne de classes x</t>
    </r>
    <r>
      <rPr>
        <vertAlign val="subscript"/>
        <sz val="10"/>
        <rFont val="Arial"/>
        <family val="2"/>
      </rPr>
      <t>bc</t>
    </r>
  </si>
  <si>
    <r>
      <t>Centre de classe x</t>
    </r>
    <r>
      <rPr>
        <b/>
        <vertAlign val="subscript"/>
        <sz val="10"/>
        <rFont val="Arial"/>
        <family val="2"/>
      </rPr>
      <t>cc</t>
    </r>
  </si>
  <si>
    <t>ni.xi centre de classe</t>
  </si>
  <si>
    <t>ni.xi.xi centre de classe</t>
  </si>
  <si>
    <t>Fréquence cumulée croissante aux bornes</t>
  </si>
  <si>
    <t>n</t>
  </si>
  <si>
    <t>Fonction SOMMEPROD</t>
  </si>
  <si>
    <t>Après répartition en classes</t>
  </si>
  <si>
    <t>Avant répartition en classes</t>
  </si>
  <si>
    <t>Utilisation des fonctions Excel (avant mise en classes)</t>
  </si>
  <si>
    <t>g</t>
  </si>
  <si>
    <t>202,5-142,5 =</t>
  </si>
  <si>
    <t>Moyenne</t>
  </si>
  <si>
    <t>Fonction MOYENNE</t>
  </si>
  <si>
    <t>Médiane</t>
  </si>
  <si>
    <t>Fonction MEDIANE</t>
  </si>
  <si>
    <t>Classe modale :</t>
  </si>
  <si>
    <t>[172,5 g ; 177,5 g[</t>
    <phoneticPr fontId="0" type="noConversion"/>
  </si>
  <si>
    <t>Mode</t>
  </si>
  <si>
    <t>Fonction MODE</t>
  </si>
  <si>
    <t>Écart-type</t>
  </si>
  <si>
    <t>Fonction ECARTYPE.PEARSON (ou ECARTYPEP)</t>
  </si>
  <si>
    <t>Variance</t>
  </si>
  <si>
    <t>Fonction VAR.P.N (ou VAR.P)</t>
  </si>
  <si>
    <t>Minimum</t>
  </si>
  <si>
    <t>Fonction MIN</t>
  </si>
  <si>
    <t>Maximum</t>
  </si>
  <si>
    <t>Fonction MAX</t>
  </si>
  <si>
    <t>Somme</t>
  </si>
  <si>
    <t>Fonction SOMME</t>
  </si>
  <si>
    <t>obtenue graphiquement ou par interpolation linéaire</t>
    <phoneticPr fontId="0" type="noConversion"/>
  </si>
  <si>
    <t>Nombre d'échantillons</t>
  </si>
  <si>
    <t>Fonction NB</t>
  </si>
  <si>
    <t>Me = 174,8 g</t>
  </si>
  <si>
    <t>(Me-172,5) / (177,5-172,5) = (0,50-0,38) / (0,64-0,38)</t>
    <phoneticPr fontId="0" type="noConversion"/>
  </si>
  <si>
    <t>Quartiles</t>
  </si>
  <si>
    <t>Q1</t>
  </si>
  <si>
    <t>Fonction QUARTILE.INCLURE (ou QUARTILE)</t>
  </si>
  <si>
    <t>d'où Me =</t>
    <phoneticPr fontId="0" type="noConversion"/>
  </si>
  <si>
    <t>Q2</t>
  </si>
  <si>
    <t>Coefficient de variation :</t>
  </si>
  <si>
    <t>%</t>
  </si>
  <si>
    <t>Q3</t>
  </si>
  <si>
    <t>Ecart interdécile :</t>
  </si>
  <si>
    <t>80% des masses se répartissent sur 26 g</t>
  </si>
  <si>
    <t>Ecart interquartile</t>
  </si>
  <si>
    <t>Q3 - Q1</t>
  </si>
  <si>
    <t>Ecart entre D1 et D9</t>
  </si>
  <si>
    <t>interpolation linéaire</t>
    <phoneticPr fontId="0" type="noConversion"/>
  </si>
  <si>
    <t>Décile</t>
  </si>
  <si>
    <t>D1</t>
  </si>
  <si>
    <t>Fonction CENTILE.INCLURE avec 0,1 pour D1 (ou CENTILE)</t>
  </si>
  <si>
    <t>D1 = 163 g</t>
  </si>
  <si>
    <t>(D1-162,5) / (167,5-162,5) = (0,10-0,09) / (0,21-0,09)</t>
    <phoneticPr fontId="0" type="noConversion"/>
  </si>
  <si>
    <t>D9</t>
  </si>
  <si>
    <t>Fonction CENTILE.INCLURE avec 0,9 pour D9 (ou CENTILE)</t>
  </si>
  <si>
    <t>d'où D1 =</t>
    <phoneticPr fontId="0" type="noConversion"/>
  </si>
  <si>
    <t>Coeffcient d'asymétrie empirique de Pearson :</t>
  </si>
  <si>
    <t>Ecart interdécile</t>
  </si>
  <si>
    <t>D9 - D1</t>
  </si>
  <si>
    <t>D9 = 189 g</t>
  </si>
  <si>
    <t>(D9-187,5) / (192,5-187,5) = (0,90-0,87) / (0,95-0,87)</t>
    <phoneticPr fontId="0" type="noConversion"/>
  </si>
  <si>
    <t>d'où D9 =</t>
    <phoneticPr fontId="0" type="noConversion"/>
  </si>
  <si>
    <t>Ecart interquartile :</t>
  </si>
  <si>
    <t>50% des masses se répartissent sur 12 g</t>
  </si>
  <si>
    <t>Ecart entre Q1 et Q3</t>
    <phoneticPr fontId="0" type="noConversion"/>
  </si>
  <si>
    <t>Q1 = 169 g</t>
  </si>
  <si>
    <t>(Q1-167,5) / (172,5-167,5) = (0,25-0,21) / (0,38-0,21)</t>
    <phoneticPr fontId="0" type="noConversion"/>
  </si>
  <si>
    <t>d'où Q1 =</t>
    <phoneticPr fontId="0" type="noConversion"/>
  </si>
  <si>
    <t>Q3 = 181 g</t>
  </si>
  <si>
    <t>(Q3-177,5) / (182,5-177,5) = (0,75-0,64) / (0,81-0,64)</t>
    <phoneticPr fontId="0" type="noConversion"/>
  </si>
  <si>
    <t>d'où Q3 =</t>
    <phoneticPr fontId="0" type="noConversion"/>
  </si>
  <si>
    <t>Centre de classe</t>
  </si>
  <si>
    <t>Borne de classes</t>
  </si>
  <si>
    <t>Fréquence cumulée aux bornes</t>
  </si>
  <si>
    <t>Graphique Excel - Boîte à moustaches</t>
  </si>
  <si>
    <t>Ecart inter-quartile</t>
  </si>
  <si>
    <t>Valeurs pivots</t>
  </si>
  <si>
    <t>Q1 - 1,5 (Q3 - Q1)</t>
  </si>
  <si>
    <t>Q3 + 1,5 (Q3 - Q1)</t>
  </si>
  <si>
    <t>d'où valeurs adjacentes</t>
  </si>
  <si>
    <t>valeur parmi les 100 directement supérieure à valeur pivot : 151</t>
  </si>
  <si>
    <t>valeur parmi les 100 directement inférieure à valeur pivot : 199</t>
  </si>
  <si>
    <t>d'où 3 valeurs aberrantes (outliers)</t>
  </si>
  <si>
    <t>2 valeurs parmi les 100 inférieures à valeur adjacente : 156</t>
  </si>
  <si>
    <t>1 valeur parmi les 100 supérieure à valeur adjacente : 196</t>
  </si>
  <si>
    <t>Macro Excel - Outils - Utilitaire d'analyse - Histogramme</t>
  </si>
  <si>
    <t>Fréquence (ou effectifs)</t>
  </si>
  <si>
    <t>% cumulé</t>
  </si>
  <si>
    <t>ou plus...</t>
  </si>
  <si>
    <t>Attention : les barres de l'histogramme sont centrées sur les bornes de classes et non sur les centres, c'est une erreur de la Macro Excel !</t>
    <phoneticPr fontId="0" type="noConversion"/>
  </si>
  <si>
    <t>Graphique Excel - Histogramme</t>
  </si>
  <si>
    <t>Attention : la première borne de classe est imposée xmin=144 (d'où la différence avec l'histogramme précédent) mais on peut faire varier le nombre de classes ou l'amplitude de chaque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</si>
</sst>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0.0"/>
    <numFmt numFmtId="166" formatCode="0.000"/>
    <numFmt numFmtId="167" formatCode=".00%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sz val="10"/>
      <name val="Wingdings"/>
      <charset val="2"/>
    </font>
    <font>
      <sz val="10"/>
      <name val="Symbol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indexed="12"/>
      <name val="Arial"/>
      <family val="2"/>
    </font>
    <font>
      <b/>
      <sz val="10"/>
      <color rgb="FF00B05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/>
    <xf numFmtId="164" fontId="5" fillId="0" borderId="0" xfId="0" applyNumberFormat="1" applyFont="1"/>
    <xf numFmtId="0" fontId="1" fillId="0" borderId="0" xfId="0" applyFont="1" applyFill="1" applyBorder="1" applyAlignment="1">
      <alignment horizontal="left"/>
    </xf>
    <xf numFmtId="0" fontId="2" fillId="0" borderId="0" xfId="1" applyFont="1"/>
    <xf numFmtId="0" fontId="1" fillId="0" borderId="0" xfId="1"/>
    <xf numFmtId="0" fontId="1" fillId="0" borderId="0" xfId="1" applyFont="1"/>
    <xf numFmtId="0" fontId="1" fillId="0" borderId="0" xfId="1" applyAlignment="1">
      <alignment horizontal="left"/>
    </xf>
    <xf numFmtId="165" fontId="1" fillId="0" borderId="0" xfId="1" applyNumberFormat="1" applyAlignment="1">
      <alignment horizontal="left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3" xfId="1" applyBorder="1"/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1" fontId="1" fillId="0" borderId="7" xfId="1" applyNumberForma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9" fillId="0" borderId="0" xfId="1" applyFont="1"/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0" xfId="1" applyBorder="1"/>
    <xf numFmtId="1" fontId="1" fillId="0" borderId="0" xfId="1" applyNumberFormat="1" applyAlignment="1">
      <alignment horizontal="center"/>
    </xf>
    <xf numFmtId="0" fontId="2" fillId="0" borderId="0" xfId="1" applyFont="1" applyAlignment="1">
      <alignment horizontal="right"/>
    </xf>
    <xf numFmtId="0" fontId="9" fillId="0" borderId="0" xfId="0" applyFont="1"/>
    <xf numFmtId="0" fontId="10" fillId="0" borderId="0" xfId="1" applyFont="1"/>
    <xf numFmtId="165" fontId="1" fillId="0" borderId="0" xfId="1" applyNumberFormat="1" applyAlignment="1">
      <alignment horizontal="center"/>
    </xf>
    <xf numFmtId="0" fontId="4" fillId="0" borderId="12" xfId="1" applyFont="1" applyFill="1" applyBorder="1" applyAlignment="1">
      <alignment horizontal="centerContinuous"/>
    </xf>
    <xf numFmtId="0" fontId="1" fillId="0" borderId="0" xfId="1" applyFill="1" applyBorder="1" applyAlignment="1"/>
    <xf numFmtId="0" fontId="1" fillId="0" borderId="0" xfId="1" applyFont="1" applyAlignment="1">
      <alignment horizontal="center"/>
    </xf>
    <xf numFmtId="2" fontId="1" fillId="0" borderId="0" xfId="1" applyNumberFormat="1"/>
    <xf numFmtId="2" fontId="1" fillId="0" borderId="0" xfId="1" applyNumberFormat="1" applyAlignment="1">
      <alignment horizontal="center"/>
    </xf>
    <xf numFmtId="0" fontId="1" fillId="0" borderId="0" xfId="1" applyFill="1" applyBorder="1" applyAlignment="1">
      <alignment horizontal="left"/>
    </xf>
    <xf numFmtId="0" fontId="1" fillId="0" borderId="0" xfId="1" applyAlignment="1">
      <alignment horizontal="right"/>
    </xf>
    <xf numFmtId="9" fontId="1" fillId="0" borderId="0" xfId="1" applyNumberFormat="1"/>
    <xf numFmtId="166" fontId="1" fillId="0" borderId="0" xfId="1" applyNumberFormat="1" applyAlignment="1">
      <alignment horizontal="center"/>
    </xf>
    <xf numFmtId="165" fontId="1" fillId="0" borderId="0" xfId="1" applyNumberFormat="1"/>
    <xf numFmtId="0" fontId="2" fillId="0" borderId="0" xfId="1" applyFont="1" applyBorder="1" applyAlignment="1">
      <alignment horizontal="center" vertical="center" wrapText="1"/>
    </xf>
    <xf numFmtId="0" fontId="1" fillId="0" borderId="0" xfId="1" applyBorder="1"/>
    <xf numFmtId="1" fontId="1" fillId="0" borderId="0" xfId="1" applyNumberFormat="1"/>
    <xf numFmtId="1" fontId="1" fillId="0" borderId="10" xfId="1" applyNumberFormat="1" applyFill="1" applyBorder="1" applyAlignment="1">
      <alignment horizontal="center"/>
    </xf>
    <xf numFmtId="0" fontId="1" fillId="0" borderId="13" xfId="1" applyBorder="1" applyAlignment="1">
      <alignment horizontal="center"/>
    </xf>
    <xf numFmtId="0" fontId="4" fillId="0" borderId="12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1" fillId="0" borderId="0" xfId="1" applyAlignment="1">
      <alignment wrapText="1"/>
    </xf>
    <xf numFmtId="0" fontId="1" fillId="0" borderId="0" xfId="1" applyNumberFormat="1" applyFill="1" applyBorder="1" applyAlignment="1"/>
    <xf numFmtId="167" fontId="1" fillId="0" borderId="0" xfId="1" applyNumberFormat="1" applyFill="1" applyBorder="1" applyAlignment="1"/>
    <xf numFmtId="0" fontId="1" fillId="0" borderId="14" xfId="1" applyFill="1" applyBorder="1" applyAlignment="1"/>
    <xf numFmtId="167" fontId="1" fillId="0" borderId="14" xfId="1" applyNumberFormat="1" applyFill="1" applyBorder="1" applyAlignment="1"/>
    <xf numFmtId="0" fontId="11" fillId="0" borderId="0" xfId="1" applyFont="1"/>
    <xf numFmtId="0" fontId="11" fillId="0" borderId="0" xfId="1" applyFont="1" applyAlignment="1">
      <alignment horizontal="center" wrapText="1"/>
    </xf>
  </cellXfs>
  <cellStyles count="2">
    <cellStyle name="Normal" xfId="0" builtinId="0"/>
    <cellStyle name="Normal 2" xfId="1" xr:uid="{6FFB6AB9-CB55-BD44-BA5E-1A196685CA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21981899565461"/>
          <c:y val="4.58015267175572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731770494507323E-2"/>
          <c:y val="0.29007714678949503"/>
          <c:w val="0.77317142230202807"/>
          <c:h val="0.48855098406651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'1.1'!$A$10</c:f>
              <c:strCache>
                <c:ptCount val="1"/>
                <c:pt idx="0">
                  <c:v>Effectifs ni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'1.1'!$B$9:$I$9</c:f>
              <c:strCache>
                <c:ptCount val="8"/>
                <c:pt idx="0">
                  <c:v>Tennis</c:v>
                </c:pt>
                <c:pt idx="1">
                  <c:v>Football</c:v>
                </c:pt>
                <c:pt idx="2">
                  <c:v>Basket </c:v>
                </c:pt>
                <c:pt idx="3">
                  <c:v>Ski</c:v>
                </c:pt>
                <c:pt idx="4">
                  <c:v>VTT</c:v>
                </c:pt>
                <c:pt idx="5">
                  <c:v>Ping-pong</c:v>
                </c:pt>
                <c:pt idx="6">
                  <c:v>Natation</c:v>
                </c:pt>
                <c:pt idx="7">
                  <c:v>Aucun</c:v>
                </c:pt>
              </c:strCache>
            </c:strRef>
          </c:cat>
          <c:val>
            <c:numRef>
              <c:f>'1.1'!$B$10:$I$10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DD49-98BE-67B07CD67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65989727"/>
        <c:axId val="1"/>
      </c:barChart>
      <c:catAx>
        <c:axId val="106598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9897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41539517103938"/>
          <c:y val="0.48855082046041948"/>
          <c:w val="0.11951236645211882"/>
          <c:h val="9.1603053435114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011" r="0.75000000000000011" t="0.984251969" header="0.49212598450000006" footer="0.4921259845000000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21992815414202"/>
          <c:y val="4.580163635897304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731770494507323E-2"/>
          <c:y val="0.29007714678949503"/>
          <c:w val="0.77317142230202807"/>
          <c:h val="0.48855098406651803"/>
        </c:manualLayout>
      </c:layout>
      <c:pieChart>
        <c:varyColors val="1"/>
        <c:ser>
          <c:idx val="0"/>
          <c:order val="0"/>
          <c:tx>
            <c:strRef>
              <c:f>'1.1'!$A$11</c:f>
              <c:strCache>
                <c:ptCount val="1"/>
                <c:pt idx="0">
                  <c:v>Fréquences fi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572A7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169-9D4C-8B2B-0988BCF5BBB3}"/>
              </c:ext>
            </c:extLst>
          </c:dPt>
          <c:dPt>
            <c:idx val="1"/>
            <c:bubble3D val="0"/>
            <c:spPr>
              <a:solidFill>
                <a:srgbClr val="AA464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169-9D4C-8B2B-0988BCF5BBB3}"/>
              </c:ext>
            </c:extLst>
          </c:dPt>
          <c:dPt>
            <c:idx val="2"/>
            <c:bubble3D val="0"/>
            <c:spPr>
              <a:solidFill>
                <a:srgbClr val="89A54E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169-9D4C-8B2B-0988BCF5BBB3}"/>
              </c:ext>
            </c:extLst>
          </c:dPt>
          <c:dPt>
            <c:idx val="3"/>
            <c:bubble3D val="0"/>
            <c:spPr>
              <a:solidFill>
                <a:srgbClr val="71588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169-9D4C-8B2B-0988BCF5BBB3}"/>
              </c:ext>
            </c:extLst>
          </c:dPt>
          <c:dPt>
            <c:idx val="4"/>
            <c:bubble3D val="0"/>
            <c:spPr>
              <a:solidFill>
                <a:srgbClr val="4198A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8169-9D4C-8B2B-0988BCF5BBB3}"/>
              </c:ext>
            </c:extLst>
          </c:dPt>
          <c:dPt>
            <c:idx val="5"/>
            <c:bubble3D val="0"/>
            <c:spPr>
              <a:solidFill>
                <a:srgbClr val="DB843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8169-9D4C-8B2B-0988BCF5BBB3}"/>
              </c:ext>
            </c:extLst>
          </c:dPt>
          <c:dPt>
            <c:idx val="6"/>
            <c:bubble3D val="0"/>
            <c:spPr>
              <a:solidFill>
                <a:srgbClr val="93A9C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8169-9D4C-8B2B-0988BCF5BBB3}"/>
              </c:ext>
            </c:extLst>
          </c:dPt>
          <c:dPt>
            <c:idx val="7"/>
            <c:bubble3D val="0"/>
            <c:spPr>
              <a:solidFill>
                <a:srgbClr val="D1939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8169-9D4C-8B2B-0988BCF5BBB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'1.1'!$B$9:$I$9</c:f>
              <c:strCache>
                <c:ptCount val="8"/>
                <c:pt idx="0">
                  <c:v>Tennis</c:v>
                </c:pt>
                <c:pt idx="1">
                  <c:v>Football</c:v>
                </c:pt>
                <c:pt idx="2">
                  <c:v>Basket </c:v>
                </c:pt>
                <c:pt idx="3">
                  <c:v>Ski</c:v>
                </c:pt>
                <c:pt idx="4">
                  <c:v>VTT</c:v>
                </c:pt>
                <c:pt idx="5">
                  <c:v>Ping-pong</c:v>
                </c:pt>
                <c:pt idx="6">
                  <c:v>Natation</c:v>
                </c:pt>
                <c:pt idx="7">
                  <c:v>Aucun</c:v>
                </c:pt>
              </c:strCache>
            </c:strRef>
          </c:cat>
          <c:val>
            <c:numRef>
              <c:f>'1.1'!$B$11:$I$11</c:f>
              <c:numCache>
                <c:formatCode>0.00</c:formatCode>
                <c:ptCount val="8"/>
                <c:pt idx="0">
                  <c:v>0.17857142857142858</c:v>
                </c:pt>
                <c:pt idx="1">
                  <c:v>0.25</c:v>
                </c:pt>
                <c:pt idx="2">
                  <c:v>7.1428571428571425E-2</c:v>
                </c:pt>
                <c:pt idx="3">
                  <c:v>3.5714285714285712E-2</c:v>
                </c:pt>
                <c:pt idx="4">
                  <c:v>0.21428571428571427</c:v>
                </c:pt>
                <c:pt idx="5">
                  <c:v>0.10714285714285714</c:v>
                </c:pt>
                <c:pt idx="6">
                  <c:v>7.1428571428571425E-2</c:v>
                </c:pt>
                <c:pt idx="7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169-9D4C-8B2B-0988BCF5B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9" l="0.75000000000000011" r="0.75000000000000011" t="0.984251969" header="0.49212598450000006" footer="0.49212598450000006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15533285612027"/>
          <c:y val="4.86111111111111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89598036414165"/>
          <c:y val="0.28472270494707735"/>
          <c:w val="0.53246689936622593"/>
          <c:h val="0.50000084771194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'1.2'!$A$8</c:f>
              <c:strCache>
                <c:ptCount val="1"/>
                <c:pt idx="0">
                  <c:v>Nombre de pièces défectueuses xi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'1.2'!$A$9:$A$15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'1.2'!$B$9:$B$15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15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1-FB40-B1FB-3671B92C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68446383"/>
        <c:axId val="1"/>
      </c:barChart>
      <c:catAx>
        <c:axId val="106844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84463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558364863482977"/>
          <c:y val="0.4583338801399825"/>
          <c:w val="0.31168805603844973"/>
          <c:h val="0.159722222222222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4288213973253"/>
          <c:y val="4.040404040404040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14290143144022E-2"/>
          <c:y val="0.21212147367408665"/>
          <c:w val="0.88888957782240341"/>
          <c:h val="0.63636442102225999"/>
        </c:manualLayout>
      </c:layout>
      <c:scatterChart>
        <c:scatterStyle val="lineMarker"/>
        <c:varyColors val="0"/>
        <c:ser>
          <c:idx val="0"/>
          <c:order val="0"/>
          <c:tx>
            <c:v>Fréquences cumulées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2686263090799564E-3"/>
                  <c:y val="-4.16386722846774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14-AB4C-AC40-5B076F0CC12C}"/>
                </c:ext>
              </c:extLst>
            </c:dLbl>
            <c:dLbl>
              <c:idx val="1"/>
              <c:layout>
                <c:manualLayout>
                  <c:x val="3.0416784241208633E-3"/>
                  <c:y val="-3.444455235042696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14-AB4C-AC40-5B076F0CC12C}"/>
                </c:ext>
              </c:extLst>
            </c:dLbl>
            <c:dLbl>
              <c:idx val="2"/>
              <c:layout>
                <c:manualLayout>
                  <c:x val="2.2113276213032274E-2"/>
                  <c:y val="-3.545491111566334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14-AB4C-AC40-5B076F0CC12C}"/>
                </c:ext>
              </c:extLst>
            </c:dLbl>
            <c:dLbl>
              <c:idx val="3"/>
              <c:layout>
                <c:manualLayout>
                  <c:x val="1.2589557726865763E-2"/>
                  <c:y val="-3.202030700764357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14-AB4C-AC40-5B076F0CC12C}"/>
                </c:ext>
              </c:extLst>
            </c:dLbl>
            <c:dLbl>
              <c:idx val="4"/>
              <c:layout>
                <c:manualLayout>
                  <c:x val="-3.2836219982147474E-3"/>
                  <c:y val="-4.676786271196042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14-AB4C-AC40-5B076F0CC12C}"/>
                </c:ext>
              </c:extLst>
            </c:dLbl>
            <c:dLbl>
              <c:idx val="5"/>
              <c:layout>
                <c:manualLayout>
                  <c:x val="-9.6327348493012721E-3"/>
                  <c:y val="-4.151536236923272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14-AB4C-AC40-5B076F0CC12C}"/>
                </c:ext>
              </c:extLst>
            </c:dLbl>
            <c:dLbl>
              <c:idx val="6"/>
              <c:layout>
                <c:manualLayout>
                  <c:x val="-3.502973147962174E-2"/>
                  <c:y val="-4.39396234758233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14-AB4C-AC40-5B076F0CC1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'1.2'!$A$9:$A$15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'1.2'!$E$9:$E$15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0.38</c:v>
                </c:pt>
                <c:pt idx="2">
                  <c:v>0.68</c:v>
                </c:pt>
                <c:pt idx="3">
                  <c:v>0.86</c:v>
                </c:pt>
                <c:pt idx="4">
                  <c:v>0.94</c:v>
                </c:pt>
                <c:pt idx="5">
                  <c:v>0.98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14-AB4C-AC40-5B076F0CC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81663"/>
        <c:axId val="1"/>
      </c:scatterChart>
      <c:valAx>
        <c:axId val="1107481663"/>
        <c:scaling>
          <c:orientation val="minMax"/>
          <c:max val="7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107481663"/>
        <c:crosses val="autoZero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Histogramme (diagramme des effectifs)</a:t>
            </a:r>
          </a:p>
        </c:rich>
      </c:tx>
      <c:layout>
        <c:manualLayout>
          <c:xMode val="edge"/>
          <c:yMode val="edge"/>
          <c:x val="0.18300681451515807"/>
          <c:y val="4.2553191489361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05894085967885"/>
          <c:y val="0.22340425531914893"/>
          <c:w val="0.8169941158871048"/>
          <c:h val="0.54255319148936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'1.3'!$D$69</c:f>
              <c:strCache>
                <c:ptCount val="1"/>
                <c:pt idx="0">
                  <c:v>Effectifs ni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'1.3'!$C$70:$C$81</c:f>
              <c:numCache>
                <c:formatCode>General</c:formatCode>
                <c:ptCount val="12"/>
                <c:pt idx="0">
                  <c:v>145</c:v>
                </c:pt>
                <c:pt idx="1">
                  <c:v>150</c:v>
                </c:pt>
                <c:pt idx="2">
                  <c:v>155</c:v>
                </c:pt>
                <c:pt idx="3">
                  <c:v>160</c:v>
                </c:pt>
                <c:pt idx="4">
                  <c:v>165</c:v>
                </c:pt>
                <c:pt idx="5">
                  <c:v>170</c:v>
                </c:pt>
                <c:pt idx="6">
                  <c:v>175</c:v>
                </c:pt>
                <c:pt idx="7">
                  <c:v>180</c:v>
                </c:pt>
                <c:pt idx="8">
                  <c:v>185</c:v>
                </c:pt>
                <c:pt idx="9">
                  <c:v>190</c:v>
                </c:pt>
                <c:pt idx="10">
                  <c:v>195</c:v>
                </c:pt>
                <c:pt idx="11">
                  <c:v>200</c:v>
                </c:pt>
              </c:numCache>
            </c:numRef>
          </c:cat>
          <c:val>
            <c:numRef>
              <c:f>'1.3'!$D$70:$D$81</c:f>
              <c:numCache>
                <c:formatCode>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12</c:v>
                </c:pt>
                <c:pt idx="5">
                  <c:v>17</c:v>
                </c:pt>
                <c:pt idx="6">
                  <c:v>26</c:v>
                </c:pt>
                <c:pt idx="7">
                  <c:v>17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D-5F47-80E9-541D2AF9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6863072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'1.3'!$D$70:$D$81</c:f>
              <c:numCache>
                <c:formatCode>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12</c:v>
                </c:pt>
                <c:pt idx="5">
                  <c:v>17</c:v>
                </c:pt>
                <c:pt idx="6">
                  <c:v>26</c:v>
                </c:pt>
                <c:pt idx="7">
                  <c:v>17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5F47-80E9-541D2AF9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63072"/>
        <c:axId val="1"/>
      </c:lineChart>
      <c:catAx>
        <c:axId val="25686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Masse (centre de classes de 5 g en 5 g)</a:t>
                </a:r>
              </a:p>
            </c:rich>
          </c:tx>
          <c:layout>
            <c:manualLayout>
              <c:xMode val="edge"/>
              <c:yMode val="edge"/>
              <c:x val="0.34967348118182479"/>
              <c:y val="0.86170212765957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Effectifs </a:t>
                </a:r>
              </a:p>
            </c:rich>
          </c:tx>
          <c:layout>
            <c:manualLayout>
              <c:xMode val="edge"/>
              <c:yMode val="edge"/>
              <c:x val="4.2483565701076358E-2"/>
              <c:y val="0.3723404255319148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56863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Polygone des fréquences cumulées croissantes</a:t>
            </a:r>
          </a:p>
        </c:rich>
      </c:tx>
      <c:layout>
        <c:manualLayout>
          <c:xMode val="edge"/>
          <c:yMode val="edge"/>
          <c:x val="0.21712537101086662"/>
          <c:y val="6.70103092783505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0514169670205"/>
          <c:y val="0.1958766584132717"/>
          <c:w val="0.81345535382645495"/>
          <c:h val="0.5051555927500165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'1.3'!$G$70:$G$82</c:f>
              <c:numCache>
                <c:formatCode>General</c:formatCode>
                <c:ptCount val="13"/>
                <c:pt idx="0">
                  <c:v>142.5</c:v>
                </c:pt>
                <c:pt idx="1">
                  <c:v>147.5</c:v>
                </c:pt>
                <c:pt idx="2">
                  <c:v>152.5</c:v>
                </c:pt>
                <c:pt idx="3">
                  <c:v>157.5</c:v>
                </c:pt>
                <c:pt idx="4">
                  <c:v>162.5</c:v>
                </c:pt>
                <c:pt idx="5">
                  <c:v>167.5</c:v>
                </c:pt>
                <c:pt idx="6">
                  <c:v>172.5</c:v>
                </c:pt>
                <c:pt idx="7">
                  <c:v>177.5</c:v>
                </c:pt>
                <c:pt idx="8">
                  <c:v>182.5</c:v>
                </c:pt>
                <c:pt idx="9">
                  <c:v>187.5</c:v>
                </c:pt>
                <c:pt idx="10">
                  <c:v>192.5</c:v>
                </c:pt>
                <c:pt idx="11">
                  <c:v>197.5</c:v>
                </c:pt>
                <c:pt idx="12">
                  <c:v>202.5</c:v>
                </c:pt>
              </c:numCache>
            </c:numRef>
          </c:cat>
          <c:val>
            <c:numRef>
              <c:f>'1.3'!$H$70:$H$82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0.09</c:v>
                </c:pt>
                <c:pt idx="5">
                  <c:v>0.21</c:v>
                </c:pt>
                <c:pt idx="6">
                  <c:v>0.38</c:v>
                </c:pt>
                <c:pt idx="7">
                  <c:v>0.64</c:v>
                </c:pt>
                <c:pt idx="8">
                  <c:v>0.81</c:v>
                </c:pt>
                <c:pt idx="9">
                  <c:v>0.87</c:v>
                </c:pt>
                <c:pt idx="10">
                  <c:v>0.95</c:v>
                </c:pt>
                <c:pt idx="11">
                  <c:v>0.99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A-FE4F-9D7B-470CB310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01888"/>
        <c:axId val="1"/>
      </c:lineChart>
      <c:catAx>
        <c:axId val="2942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Masse (bornes de classes de 5 g en 5 g)</a:t>
                </a:r>
              </a:p>
            </c:rich>
          </c:tx>
          <c:layout>
            <c:manualLayout>
              <c:xMode val="edge"/>
              <c:yMode val="edge"/>
              <c:x val="0.34862364167095938"/>
              <c:y val="0.855671726601185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Fréquences</a:t>
                </a:r>
              </a:p>
            </c:rich>
          </c:tx>
          <c:layout>
            <c:manualLayout>
              <c:xMode val="edge"/>
              <c:yMode val="edge"/>
              <c:x val="4.5871660902200309E-2"/>
              <c:y val="0.314433395567822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9420188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Histogramme</a:t>
            </a:r>
          </a:p>
        </c:rich>
      </c:tx>
      <c:layout>
        <c:manualLayout>
          <c:xMode val="edge"/>
          <c:yMode val="edge"/>
          <c:x val="0.38855437187998559"/>
          <c:y val="3.84616288635562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6626506024098"/>
          <c:y val="0.211538958127437"/>
          <c:w val="0.44879518072289154"/>
          <c:h val="0.50000117375576025"/>
        </c:manualLayout>
      </c:layout>
      <c:barChart>
        <c:barDir val="col"/>
        <c:grouping val="clustered"/>
        <c:varyColors val="0"/>
        <c:ser>
          <c:idx val="0"/>
          <c:order val="0"/>
          <c:tx>
            <c:v>Fréquence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'1.3'!$C$103:$C$115</c:f>
              <c:numCache>
                <c:formatCode>General</c:formatCode>
                <c:ptCount val="13"/>
                <c:pt idx="0">
                  <c:v>142.5</c:v>
                </c:pt>
                <c:pt idx="1">
                  <c:v>147.5</c:v>
                </c:pt>
                <c:pt idx="2">
                  <c:v>152.5</c:v>
                </c:pt>
                <c:pt idx="3">
                  <c:v>157.5</c:v>
                </c:pt>
                <c:pt idx="4">
                  <c:v>162.5</c:v>
                </c:pt>
                <c:pt idx="5">
                  <c:v>167.5</c:v>
                </c:pt>
                <c:pt idx="6">
                  <c:v>172.5</c:v>
                </c:pt>
                <c:pt idx="7">
                  <c:v>177.5</c:v>
                </c:pt>
                <c:pt idx="8">
                  <c:v>182.5</c:v>
                </c:pt>
                <c:pt idx="9">
                  <c:v>187.5</c:v>
                </c:pt>
                <c:pt idx="10">
                  <c:v>192.5</c:v>
                </c:pt>
                <c:pt idx="11">
                  <c:v>197.5</c:v>
                </c:pt>
                <c:pt idx="12">
                  <c:v>202.5</c:v>
                </c:pt>
              </c:numCache>
            </c:numRef>
          </c:cat>
          <c:val>
            <c:numRef>
              <c:f>'1.3'!$D$103:$D$115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12</c:v>
                </c:pt>
                <c:pt idx="6">
                  <c:v>17</c:v>
                </c:pt>
                <c:pt idx="7">
                  <c:v>26</c:v>
                </c:pt>
                <c:pt idx="8">
                  <c:v>17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3-9F4C-BC8A-F6AB29E1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6706080"/>
        <c:axId val="1"/>
      </c:barChart>
      <c:lineChart>
        <c:grouping val="standard"/>
        <c:varyColors val="0"/>
        <c:ser>
          <c:idx val="1"/>
          <c:order val="1"/>
          <c:tx>
            <c:v>% cumulé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'1.3'!$C$103:$C$115</c:f>
              <c:numCache>
                <c:formatCode>General</c:formatCode>
                <c:ptCount val="13"/>
                <c:pt idx="0">
                  <c:v>142.5</c:v>
                </c:pt>
                <c:pt idx="1">
                  <c:v>147.5</c:v>
                </c:pt>
                <c:pt idx="2">
                  <c:v>152.5</c:v>
                </c:pt>
                <c:pt idx="3">
                  <c:v>157.5</c:v>
                </c:pt>
                <c:pt idx="4">
                  <c:v>162.5</c:v>
                </c:pt>
                <c:pt idx="5">
                  <c:v>167.5</c:v>
                </c:pt>
                <c:pt idx="6">
                  <c:v>172.5</c:v>
                </c:pt>
                <c:pt idx="7">
                  <c:v>177.5</c:v>
                </c:pt>
                <c:pt idx="8">
                  <c:v>182.5</c:v>
                </c:pt>
                <c:pt idx="9">
                  <c:v>187.5</c:v>
                </c:pt>
                <c:pt idx="10">
                  <c:v>192.5</c:v>
                </c:pt>
                <c:pt idx="11">
                  <c:v>197.5</c:v>
                </c:pt>
                <c:pt idx="12">
                  <c:v>202.5</c:v>
                </c:pt>
              </c:numCache>
            </c:numRef>
          </c:cat>
          <c:val>
            <c:numRef>
              <c:f>'1.3'!$E$103:$E$115</c:f>
              <c:numCache>
                <c:formatCode>.00%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0.09</c:v>
                </c:pt>
                <c:pt idx="5">
                  <c:v>0.21</c:v>
                </c:pt>
                <c:pt idx="6">
                  <c:v>0.38</c:v>
                </c:pt>
                <c:pt idx="7">
                  <c:v>0.64</c:v>
                </c:pt>
                <c:pt idx="8">
                  <c:v>0.81</c:v>
                </c:pt>
                <c:pt idx="9">
                  <c:v>0.87</c:v>
                </c:pt>
                <c:pt idx="10">
                  <c:v>0.95</c:v>
                </c:pt>
                <c:pt idx="11">
                  <c:v>0.99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3-9F4C-BC8A-F6AB29E1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67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Masse</a:t>
                </a:r>
              </a:p>
            </c:rich>
          </c:tx>
          <c:layout>
            <c:manualLayout>
              <c:xMode val="edge"/>
              <c:yMode val="edge"/>
              <c:x val="0.64779063613535248"/>
              <c:y val="0.731310421983337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Fréquence</a:t>
                </a:r>
              </a:p>
            </c:rich>
          </c:tx>
          <c:layout>
            <c:manualLayout>
              <c:xMode val="edge"/>
              <c:yMode val="edge"/>
              <c:x val="3.5452884565899845E-2"/>
              <c:y val="0.3173083401888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56706080"/>
        <c:crosses val="autoZero"/>
        <c:crossBetween val="midCat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44439712556829"/>
          <c:y val="0.36527150222275029"/>
          <c:w val="0.22891565024960114"/>
          <c:h val="0.12019273710189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Histogramme Masse (en g)</a:t>
            </a:r>
          </a:p>
          <a:p>
            <a:pPr algn="ctr" rtl="0">
              <a:defRPr/>
            </a:pPr>
            <a:endPara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40FA6044-897B-3A4F-A4E0-9EBB3CADA19E}">
          <cx:tx>
            <cx:txData>
              <cx:f>_xlchart.v1.0</cx:f>
              <cx:v>Masse</cx:v>
            </cx:txData>
          </cx:tx>
          <cx:dataLabels/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 Plot Masse (en 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Plot Masse (en g)</a:t>
          </a:r>
        </a:p>
      </cx:txPr>
    </cx:title>
    <cx:plotArea>
      <cx:plotAreaRegion>
        <cx:series layoutId="boxWhisker" uniqueId="{D09B6F19-1E79-454D-989D-597312C2877B}"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10" min="14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13</xdr:row>
      <xdr:rowOff>88900</xdr:rowOff>
    </xdr:from>
    <xdr:to>
      <xdr:col>9</xdr:col>
      <xdr:colOff>241300</xdr:colOff>
      <xdr:row>24</xdr:row>
      <xdr:rowOff>63500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9225B0F-7EAA-0544-A091-297E5163A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863600</xdr:colOff>
      <xdr:row>26</xdr:row>
      <xdr:rowOff>88900</xdr:rowOff>
    </xdr:from>
    <xdr:to>
      <xdr:col>8</xdr:col>
      <xdr:colOff>508000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2CFF4-1CCA-DA4C-95DB-5BEDB488B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349414</xdr:colOff>
      <xdr:row>4</xdr:row>
      <xdr:rowOff>126673</xdr:rowOff>
    </xdr:from>
    <xdr:to>
      <xdr:col>12</xdr:col>
      <xdr:colOff>133514</xdr:colOff>
      <xdr:row>14</xdr:row>
      <xdr:rowOff>126674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57F3A-4794-EF48-9DEE-7ECDFB3A2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369016</xdr:colOff>
      <xdr:row>17</xdr:row>
      <xdr:rowOff>117817</xdr:rowOff>
    </xdr:from>
    <xdr:to>
      <xdr:col>12</xdr:col>
      <xdr:colOff>195385</xdr:colOff>
      <xdr:row>34</xdr:row>
      <xdr:rowOff>122117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4568D08-845C-AE49-80B1-0B5B3DA17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0.06077</cdr:x>
      <cdr:y>0.75746</cdr:y>
    </cdr:from>
    <cdr:to>
      <cdr:x>0.18997</cdr:x>
      <cdr:y>0.84409</cdr:y>
    </cdr:to>
    <cdr:sp macro="" textlink="">
      <cdr:nvSpPr>
        <cdr:cNvPr id="8193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2911" y="2098099"/>
          <a:ext cx="516499" cy="23994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0.18942</cdr:x>
      <cdr:y>0.60434</cdr:y>
    </cdr:from>
    <cdr:to>
      <cdr:x>0.31401</cdr:x>
      <cdr:y>0.8431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5374" y="1625588"/>
          <a:ext cx="496846" cy="6422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0.31368</cdr:x>
      <cdr:y>0.41904</cdr:y>
    </cdr:from>
    <cdr:to>
      <cdr:x>0.44136</cdr:x>
      <cdr:y>0.84402</cdr:y>
    </cdr:to>
    <cdr:sp macro="" textlink="">
      <cdr:nvSpPr>
        <cdr:cNvPr id="8195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0884" y="1127163"/>
          <a:ext cx="509156" cy="11431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0.44291</cdr:x>
      <cdr:y>0.30529</cdr:y>
    </cdr:from>
    <cdr:to>
      <cdr:x>0.56909</cdr:x>
      <cdr:y>0.84282</cdr:y>
    </cdr:to>
    <cdr:sp macro="" textlink="">
      <cdr:nvSpPr>
        <cdr:cNvPr id="8196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0500" y="845635"/>
          <a:ext cx="504411" cy="148888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0.5689</cdr:x>
      <cdr:y>0.24648</cdr:y>
    </cdr:from>
    <cdr:to>
      <cdr:x>0.69617</cdr:x>
      <cdr:y>0.84436</cdr:y>
    </cdr:to>
    <cdr:sp macro="" textlink="">
      <cdr:nvSpPr>
        <cdr:cNvPr id="8197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23471" y="683315"/>
          <a:ext cx="519770" cy="165745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0.69711</cdr:x>
      <cdr:y>0.22299</cdr:y>
    </cdr:from>
    <cdr:to>
      <cdr:x>0.8248</cdr:x>
      <cdr:y>0.84402</cdr:y>
    </cdr:to>
    <cdr:sp macro="" textlink="">
      <cdr:nvSpPr>
        <cdr:cNvPr id="8198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86687" y="617658"/>
          <a:ext cx="510418" cy="172019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0.82455</cdr:x>
      <cdr:y>0.20778</cdr:y>
    </cdr:from>
    <cdr:to>
      <cdr:x>0.95029</cdr:x>
      <cdr:y>0.84328</cdr:y>
    </cdr:to>
    <cdr:sp macro="" textlink="">
      <cdr:nvSpPr>
        <cdr:cNvPr id="8199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96118" y="575536"/>
          <a:ext cx="502630" cy="176027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517939</xdr:colOff>
      <xdr:row>82</xdr:row>
      <xdr:rowOff>103256</xdr:rowOff>
    </xdr:from>
    <xdr:to>
      <xdr:col>6</xdr:col>
      <xdr:colOff>60187</xdr:colOff>
      <xdr:row>98</xdr:row>
      <xdr:rowOff>39756</xdr:rowOff>
    </xdr:to>
    <xdr:grpSp>
      <xdr:nvGrpSpPr>
        <xdr:cNvPr id="2" name="Group 23">
          <a:extLst>
            <a:ext uri="{FF2B5EF4-FFF2-40B4-BE49-F238E27FC236}">
              <a16:creationId xmlns:a16="http://schemas.microsoft.com/office/drawing/2014/main" id="{510717FA-D256-8A42-897A-7D3EF21B4A42}"/>
            </a:ext>
          </a:extLst>
        </xdr:cNvPr>
        <xdr:cNvGrpSpPr>
          <a:grpSpLocks/>
        </xdr:cNvGrpSpPr>
      </xdr:nvGrpSpPr>
      <xdr:grpSpPr bwMode="auto">
        <a:xfrm>
          <a:off x="2269202" y="14407467"/>
          <a:ext cx="4167722" cy="2503236"/>
          <a:chOff x="113" y="1293"/>
          <a:chExt cx="361" cy="26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DA1F3E3-7DB1-3641-A986-2BA0A19CAF4E}"/>
              </a:ext>
            </a:extLst>
          </xdr:cNvPr>
          <xdr:cNvGraphicFramePr>
            <a:graphicFrameLocks/>
          </xdr:cNvGraphicFramePr>
        </xdr:nvGraphicFramePr>
        <xdr:xfrm>
          <a:off x="113" y="1293"/>
          <a:ext cx="361" cy="2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 Box 14">
            <a:extLst>
              <a:ext uri="{FF2B5EF4-FFF2-40B4-BE49-F238E27FC236}">
                <a16:creationId xmlns:a16="http://schemas.microsoft.com/office/drawing/2014/main" id="{26784789-ED3D-E043-8425-C0B359CFDB0B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7" y="1357"/>
            <a:ext cx="64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fr-FR" sz="1000" b="0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Polygone</a:t>
            </a:r>
          </a:p>
        </xdr:txBody>
      </xdr:sp>
      <xdr:sp macro="" textlink="">
        <xdr:nvSpPr>
          <xdr:cNvPr id="5" name="Line 16">
            <a:extLst>
              <a:ext uri="{FF2B5EF4-FFF2-40B4-BE49-F238E27FC236}">
                <a16:creationId xmlns:a16="http://schemas.microsoft.com/office/drawing/2014/main" id="{E1832C5A-7C25-3245-86B2-2766CFD03653}"/>
              </a:ext>
            </a:extLst>
          </xdr:cNvPr>
          <xdr:cNvSpPr>
            <a:spLocks noChangeShapeType="1"/>
          </xdr:cNvSpPr>
        </xdr:nvSpPr>
        <xdr:spPr bwMode="auto">
          <a:xfrm flipH="1">
            <a:off x="333" y="1371"/>
            <a:ext cx="41" cy="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85587</xdr:colOff>
      <xdr:row>82</xdr:row>
      <xdr:rowOff>90556</xdr:rowOff>
    </xdr:from>
    <xdr:to>
      <xdr:col>10</xdr:col>
      <xdr:colOff>739913</xdr:colOff>
      <xdr:row>98</xdr:row>
      <xdr:rowOff>115956</xdr:rowOff>
    </xdr:to>
    <xdr:grpSp>
      <xdr:nvGrpSpPr>
        <xdr:cNvPr id="6" name="Group 22">
          <a:extLst>
            <a:ext uri="{FF2B5EF4-FFF2-40B4-BE49-F238E27FC236}">
              <a16:creationId xmlns:a16="http://schemas.microsoft.com/office/drawing/2014/main" id="{374A3F53-81E8-FC4E-B9EC-496DCB0472A0}"/>
            </a:ext>
          </a:extLst>
        </xdr:cNvPr>
        <xdr:cNvGrpSpPr>
          <a:grpSpLocks/>
        </xdr:cNvGrpSpPr>
      </xdr:nvGrpSpPr>
      <xdr:grpSpPr bwMode="auto">
        <a:xfrm>
          <a:off x="6462324" y="14394767"/>
          <a:ext cx="4170221" cy="2592136"/>
          <a:chOff x="484" y="1293"/>
          <a:chExt cx="383" cy="275"/>
        </a:xfrm>
      </xdr:grpSpPr>
      <xdr:graphicFrame macro="">
        <xdr:nvGraphicFramePr>
          <xdr:cNvPr id="7" name="Chart 17">
            <a:extLst>
              <a:ext uri="{FF2B5EF4-FFF2-40B4-BE49-F238E27FC236}">
                <a16:creationId xmlns:a16="http://schemas.microsoft.com/office/drawing/2014/main" id="{F450B35C-1CF6-3E44-A2CE-2649F08E48BC}"/>
              </a:ext>
            </a:extLst>
          </xdr:cNvPr>
          <xdr:cNvGraphicFramePr>
            <a:graphicFrameLocks/>
          </xdr:cNvGraphicFramePr>
        </xdr:nvGraphicFramePr>
        <xdr:xfrm>
          <a:off x="484" y="1293"/>
          <a:ext cx="383" cy="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Line 19">
            <a:extLst>
              <a:ext uri="{FF2B5EF4-FFF2-40B4-BE49-F238E27FC236}">
                <a16:creationId xmlns:a16="http://schemas.microsoft.com/office/drawing/2014/main" id="{7044CE93-EEDB-4C47-9180-52FD229863E4}"/>
              </a:ext>
            </a:extLst>
          </xdr:cNvPr>
          <xdr:cNvSpPr>
            <a:spLocks noChangeShapeType="1"/>
          </xdr:cNvSpPr>
        </xdr:nvSpPr>
        <xdr:spPr bwMode="auto">
          <a:xfrm>
            <a:off x="544" y="1416"/>
            <a:ext cx="165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20">
            <a:extLst>
              <a:ext uri="{FF2B5EF4-FFF2-40B4-BE49-F238E27FC236}">
                <a16:creationId xmlns:a16="http://schemas.microsoft.com/office/drawing/2014/main" id="{9C38A764-043E-3448-9DF2-3BEC19D2E851}"/>
              </a:ext>
            </a:extLst>
          </xdr:cNvPr>
          <xdr:cNvSpPr>
            <a:spLocks noChangeShapeType="1"/>
          </xdr:cNvSpPr>
        </xdr:nvSpPr>
        <xdr:spPr bwMode="auto">
          <a:xfrm>
            <a:off x="710" y="1417"/>
            <a:ext cx="0" cy="6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Text Box 21">
            <a:extLst>
              <a:ext uri="{FF2B5EF4-FFF2-40B4-BE49-F238E27FC236}">
                <a16:creationId xmlns:a16="http://schemas.microsoft.com/office/drawing/2014/main" id="{B891E268-F5CA-6A49-8A84-3043D128FB06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3" y="1453"/>
            <a:ext cx="66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fr-FR" sz="900" b="0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Médiane </a:t>
            </a:r>
          </a:p>
          <a:p>
            <a:pPr algn="l" rtl="0">
              <a:defRPr sz="1000"/>
            </a:pPr>
            <a:r>
              <a:rPr lang="fr-FR" sz="900" b="0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Me</a:t>
            </a:r>
          </a:p>
        </xdr:txBody>
      </xdr:sp>
    </xdr:grpSp>
    <xdr:clientData/>
  </xdr:twoCellAnchor>
  <xdr:twoCellAnchor>
    <xdr:from>
      <xdr:col>5</xdr:col>
      <xdr:colOff>840236</xdr:colOff>
      <xdr:row>99</xdr:row>
      <xdr:rowOff>96049</xdr:rowOff>
    </xdr:from>
    <xdr:to>
      <xdr:col>10</xdr:col>
      <xdr:colOff>698500</xdr:colOff>
      <xdr:row>116</xdr:row>
      <xdr:rowOff>104624</xdr:rowOff>
    </xdr:to>
    <xdr:graphicFrame macro="">
      <xdr:nvGraphicFramePr>
        <xdr:cNvPr id="11" name="Chart 25">
          <a:extLst>
            <a:ext uri="{FF2B5EF4-FFF2-40B4-BE49-F238E27FC236}">
              <a16:creationId xmlns:a16="http://schemas.microsoft.com/office/drawing/2014/main" id="{4AD4E603-FC7E-D44D-A7B0-2952C68C1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43881</xdr:colOff>
      <xdr:row>123</xdr:row>
      <xdr:rowOff>151238</xdr:rowOff>
    </xdr:from>
    <xdr:to>
      <xdr:col>8</xdr:col>
      <xdr:colOff>115113</xdr:colOff>
      <xdr:row>142</xdr:row>
      <xdr:rowOff>142403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444E4286-0D20-B24F-9C41-A16D5412F5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8081" y="21804738"/>
              <a:ext cx="5354432" cy="3128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355483</xdr:colOff>
      <xdr:row>70</xdr:row>
      <xdr:rowOff>93579</xdr:rowOff>
    </xdr:from>
    <xdr:to>
      <xdr:col>15</xdr:col>
      <xdr:colOff>549849</xdr:colOff>
      <xdr:row>98</xdr:row>
      <xdr:rowOff>20926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phique 12">
              <a:extLst>
                <a:ext uri="{FF2B5EF4-FFF2-40B4-BE49-F238E27FC236}">
                  <a16:creationId xmlns:a16="http://schemas.microsoft.com/office/drawing/2014/main" id="{A42A8B1E-4CB0-B147-9B1C-02F827B4C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4283" y="12780879"/>
              <a:ext cx="3712266" cy="45501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e-christine/Documents/Stat%2020%2021/TDStat_Chap1_1.1_a&#768;_1.9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"/>
      <sheetName val="Feuil7"/>
      <sheetName val="1.2"/>
      <sheetName val="1.3"/>
      <sheetName val="ex 1.3"/>
      <sheetName val="1.3 Discretisation Statbox"/>
      <sheetName val="1.3 Stat. Descr. Statbox"/>
      <sheetName val="1.4"/>
      <sheetName val="1.5"/>
      <sheetName val="1.6 à 1.9"/>
      <sheetName val="1.1 (2012 2013)"/>
      <sheetName val="ex 1.4"/>
      <sheetName val="ex 1.4 Stat. Descr. Statbox"/>
      <sheetName val="ex 1.7"/>
      <sheetName val="ex 1.8"/>
      <sheetName val="ex 1.6 à 1.9"/>
      <sheetName val="Feuil15"/>
    </sheetNames>
    <sheetDataSet>
      <sheetData sheetId="0">
        <row r="9">
          <cell r="B9" t="str">
            <v>Tennis</v>
          </cell>
          <cell r="C9" t="str">
            <v>Football</v>
          </cell>
          <cell r="D9" t="str">
            <v xml:space="preserve">Basket </v>
          </cell>
          <cell r="E9" t="str">
            <v>Ski</v>
          </cell>
          <cell r="F9" t="str">
            <v>VTT</v>
          </cell>
          <cell r="G9" t="str">
            <v>Ping-pong</v>
          </cell>
          <cell r="H9" t="str">
            <v>Natation</v>
          </cell>
          <cell r="I9" t="str">
            <v>Aucun</v>
          </cell>
        </row>
        <row r="10">
          <cell r="A10" t="str">
            <v>Effectifs ni</v>
          </cell>
          <cell r="B10">
            <v>5</v>
          </cell>
          <cell r="C10">
            <v>7</v>
          </cell>
          <cell r="D10">
            <v>2</v>
          </cell>
          <cell r="E10">
            <v>1</v>
          </cell>
          <cell r="F10">
            <v>6</v>
          </cell>
          <cell r="G10">
            <v>3</v>
          </cell>
          <cell r="H10">
            <v>2</v>
          </cell>
          <cell r="I10">
            <v>2</v>
          </cell>
        </row>
        <row r="11">
          <cell r="A11" t="str">
            <v>Fréquences fi</v>
          </cell>
          <cell r="B11">
            <v>0.17857142857142858</v>
          </cell>
          <cell r="C11">
            <v>0.25</v>
          </cell>
          <cell r="D11">
            <v>7.1428571428571425E-2</v>
          </cell>
          <cell r="E11">
            <v>3.5714285714285712E-2</v>
          </cell>
          <cell r="F11">
            <v>0.21428571428571427</v>
          </cell>
          <cell r="G11">
            <v>0.10714285714285714</v>
          </cell>
          <cell r="H11">
            <v>7.1428571428571425E-2</v>
          </cell>
          <cell r="I11">
            <v>7.1428571428571425E-2</v>
          </cell>
        </row>
      </sheetData>
      <sheetData sheetId="1"/>
      <sheetData sheetId="2">
        <row r="8">
          <cell r="A8" t="str">
            <v>Nombre de pièces défectueuses xi</v>
          </cell>
        </row>
        <row r="9">
          <cell r="A9">
            <v>0</v>
          </cell>
          <cell r="B9">
            <v>7</v>
          </cell>
          <cell r="E9">
            <v>0.14000000000000001</v>
          </cell>
        </row>
        <row r="10">
          <cell r="A10">
            <v>1</v>
          </cell>
          <cell r="B10">
            <v>12</v>
          </cell>
          <cell r="E10">
            <v>0.38</v>
          </cell>
        </row>
        <row r="11">
          <cell r="A11">
            <v>2</v>
          </cell>
          <cell r="B11">
            <v>15</v>
          </cell>
          <cell r="E11">
            <v>0.68</v>
          </cell>
        </row>
        <row r="12">
          <cell r="A12">
            <v>3</v>
          </cell>
          <cell r="B12">
            <v>9</v>
          </cell>
          <cell r="E12">
            <v>0.86</v>
          </cell>
        </row>
        <row r="13">
          <cell r="A13">
            <v>4</v>
          </cell>
          <cell r="B13">
            <v>4</v>
          </cell>
          <cell r="E13">
            <v>0.94</v>
          </cell>
        </row>
        <row r="14">
          <cell r="A14">
            <v>5</v>
          </cell>
          <cell r="B14">
            <v>2</v>
          </cell>
          <cell r="E14">
            <v>0.98</v>
          </cell>
        </row>
        <row r="15">
          <cell r="A15">
            <v>6</v>
          </cell>
          <cell r="B15">
            <v>1</v>
          </cell>
          <cell r="E15">
            <v>1</v>
          </cell>
        </row>
      </sheetData>
      <sheetData sheetId="3">
        <row r="69">
          <cell r="D69" t="str">
            <v>Effectifs ni</v>
          </cell>
        </row>
        <row r="70">
          <cell r="C70">
            <v>145</v>
          </cell>
          <cell r="D70">
            <v>1</v>
          </cell>
          <cell r="G70">
            <v>142.5</v>
          </cell>
          <cell r="H70">
            <v>0</v>
          </cell>
        </row>
        <row r="71">
          <cell r="C71">
            <v>150</v>
          </cell>
          <cell r="D71">
            <v>1</v>
          </cell>
          <cell r="G71">
            <v>147.5</v>
          </cell>
          <cell r="H71">
            <v>0.01</v>
          </cell>
        </row>
        <row r="72">
          <cell r="C72">
            <v>155</v>
          </cell>
          <cell r="D72">
            <v>1</v>
          </cell>
          <cell r="G72">
            <v>152.5</v>
          </cell>
          <cell r="H72">
            <v>0.02</v>
          </cell>
        </row>
        <row r="73">
          <cell r="C73">
            <v>160</v>
          </cell>
          <cell r="D73">
            <v>6</v>
          </cell>
          <cell r="G73">
            <v>157.5</v>
          </cell>
          <cell r="H73">
            <v>0.03</v>
          </cell>
        </row>
        <row r="74">
          <cell r="C74">
            <v>165</v>
          </cell>
          <cell r="D74">
            <v>12</v>
          </cell>
          <cell r="G74">
            <v>162.5</v>
          </cell>
          <cell r="H74">
            <v>0.09</v>
          </cell>
        </row>
        <row r="75">
          <cell r="C75">
            <v>170</v>
          </cell>
          <cell r="D75">
            <v>17</v>
          </cell>
          <cell r="G75">
            <v>167.5</v>
          </cell>
          <cell r="H75">
            <v>0.21</v>
          </cell>
        </row>
        <row r="76">
          <cell r="C76">
            <v>175</v>
          </cell>
          <cell r="D76">
            <v>26</v>
          </cell>
          <cell r="G76">
            <v>172.5</v>
          </cell>
          <cell r="H76">
            <v>0.38</v>
          </cell>
        </row>
        <row r="77">
          <cell r="C77">
            <v>180</v>
          </cell>
          <cell r="D77">
            <v>17</v>
          </cell>
          <cell r="G77">
            <v>177.5</v>
          </cell>
          <cell r="H77">
            <v>0.64</v>
          </cell>
        </row>
        <row r="78">
          <cell r="C78">
            <v>185</v>
          </cell>
          <cell r="D78">
            <v>6</v>
          </cell>
          <cell r="G78">
            <v>182.5</v>
          </cell>
          <cell r="H78">
            <v>0.81</v>
          </cell>
        </row>
        <row r="79">
          <cell r="C79">
            <v>190</v>
          </cell>
          <cell r="D79">
            <v>8</v>
          </cell>
          <cell r="G79">
            <v>187.5</v>
          </cell>
          <cell r="H79">
            <v>0.87</v>
          </cell>
        </row>
        <row r="80">
          <cell r="C80">
            <v>195</v>
          </cell>
          <cell r="D80">
            <v>4</v>
          </cell>
          <cell r="G80">
            <v>192.5</v>
          </cell>
          <cell r="H80">
            <v>0.95</v>
          </cell>
        </row>
        <row r="81">
          <cell r="C81">
            <v>200</v>
          </cell>
          <cell r="D81">
            <v>1</v>
          </cell>
          <cell r="G81">
            <v>197.5</v>
          </cell>
          <cell r="H81">
            <v>0.99</v>
          </cell>
        </row>
        <row r="82">
          <cell r="G82">
            <v>202.5</v>
          </cell>
          <cell r="H82">
            <v>1</v>
          </cell>
        </row>
        <row r="103">
          <cell r="C103">
            <v>142.5</v>
          </cell>
          <cell r="D103">
            <v>0</v>
          </cell>
          <cell r="E103">
            <v>0</v>
          </cell>
        </row>
        <row r="104">
          <cell r="C104">
            <v>147.5</v>
          </cell>
          <cell r="D104">
            <v>1</v>
          </cell>
          <cell r="E104">
            <v>0.01</v>
          </cell>
        </row>
        <row r="105">
          <cell r="C105">
            <v>152.5</v>
          </cell>
          <cell r="D105">
            <v>1</v>
          </cell>
          <cell r="E105">
            <v>0.02</v>
          </cell>
        </row>
        <row r="106">
          <cell r="C106">
            <v>157.5</v>
          </cell>
          <cell r="D106">
            <v>1</v>
          </cell>
          <cell r="E106">
            <v>0.03</v>
          </cell>
        </row>
        <row r="107">
          <cell r="C107">
            <v>162.5</v>
          </cell>
          <cell r="D107">
            <v>6</v>
          </cell>
          <cell r="E107">
            <v>0.09</v>
          </cell>
        </row>
        <row r="108">
          <cell r="C108">
            <v>167.5</v>
          </cell>
          <cell r="D108">
            <v>12</v>
          </cell>
          <cell r="E108">
            <v>0.21</v>
          </cell>
        </row>
        <row r="109">
          <cell r="C109">
            <v>172.5</v>
          </cell>
          <cell r="D109">
            <v>17</v>
          </cell>
          <cell r="E109">
            <v>0.38</v>
          </cell>
        </row>
        <row r="110">
          <cell r="C110">
            <v>177.5</v>
          </cell>
          <cell r="D110">
            <v>26</v>
          </cell>
          <cell r="E110">
            <v>0.64</v>
          </cell>
        </row>
        <row r="111">
          <cell r="C111">
            <v>182.5</v>
          </cell>
          <cell r="D111">
            <v>17</v>
          </cell>
          <cell r="E111">
            <v>0.81</v>
          </cell>
        </row>
        <row r="112">
          <cell r="C112">
            <v>187.5</v>
          </cell>
          <cell r="D112">
            <v>6</v>
          </cell>
          <cell r="E112">
            <v>0.87</v>
          </cell>
        </row>
        <row r="113">
          <cell r="C113">
            <v>192.5</v>
          </cell>
          <cell r="D113">
            <v>8</v>
          </cell>
          <cell r="E113">
            <v>0.95</v>
          </cell>
        </row>
        <row r="114">
          <cell r="C114">
            <v>197.5</v>
          </cell>
          <cell r="D114">
            <v>4</v>
          </cell>
          <cell r="E114">
            <v>0.99</v>
          </cell>
        </row>
        <row r="115">
          <cell r="C115">
            <v>202.5</v>
          </cell>
          <cell r="D115">
            <v>1</v>
          </cell>
          <cell r="E115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D5B-EBCB-9946-B076-7808B44D9086}">
  <sheetPr>
    <pageSetUpPr fitToPage="1"/>
  </sheetPr>
  <dimension ref="A1:J61"/>
  <sheetViews>
    <sheetView tabSelected="1" zoomScale="94" zoomScaleNormal="94" workbookViewId="0">
      <selection activeCell="B4" sqref="B4"/>
    </sheetView>
  </sheetViews>
  <sheetFormatPr baseColWidth="10" defaultRowHeight="13" x14ac:dyDescent="0.15"/>
  <cols>
    <col min="1" max="1" width="21.33203125" customWidth="1"/>
    <col min="2" max="2" width="12" bestFit="1" customWidth="1"/>
    <col min="11" max="11" width="16.5" customWidth="1"/>
  </cols>
  <sheetData>
    <row r="1" spans="1:10" x14ac:dyDescent="0.15">
      <c r="A1" s="1" t="s">
        <v>0</v>
      </c>
      <c r="B1" s="2" t="s">
        <v>1</v>
      </c>
    </row>
    <row r="2" spans="1:10" x14ac:dyDescent="0.15">
      <c r="A2" s="1" t="s">
        <v>2</v>
      </c>
      <c r="B2" s="2" t="s">
        <v>3</v>
      </c>
    </row>
    <row r="3" spans="1:10" x14ac:dyDescent="0.15">
      <c r="A3" s="1" t="s">
        <v>4</v>
      </c>
      <c r="B3" t="s">
        <v>5</v>
      </c>
    </row>
    <row r="4" spans="1:10" x14ac:dyDescent="0.15">
      <c r="A4" s="1" t="s">
        <v>6</v>
      </c>
      <c r="B4" s="2" t="s">
        <v>7</v>
      </c>
    </row>
    <row r="7" spans="1:10" x14ac:dyDescent="0.15">
      <c r="A7" s="1" t="s">
        <v>8</v>
      </c>
    </row>
    <row r="8" spans="1:10" x14ac:dyDescent="0.15">
      <c r="A8" s="1"/>
    </row>
    <row r="9" spans="1:10" x14ac:dyDescent="0.15">
      <c r="A9" s="3" t="s">
        <v>9</v>
      </c>
      <c r="B9" s="4" t="s">
        <v>10</v>
      </c>
      <c r="C9" s="4" t="s">
        <v>11</v>
      </c>
      <c r="D9" s="4" t="s">
        <v>12</v>
      </c>
      <c r="E9" s="4" t="s">
        <v>13</v>
      </c>
      <c r="F9" s="4" t="s">
        <v>14</v>
      </c>
      <c r="G9" s="4" t="s">
        <v>15</v>
      </c>
      <c r="H9" s="4" t="s">
        <v>16</v>
      </c>
      <c r="I9" s="4" t="s">
        <v>17</v>
      </c>
      <c r="J9" s="5" t="s">
        <v>18</v>
      </c>
    </row>
    <row r="10" spans="1:10" x14ac:dyDescent="0.15">
      <c r="A10" s="3" t="s">
        <v>19</v>
      </c>
      <c r="B10" s="4">
        <v>5</v>
      </c>
      <c r="C10" s="4">
        <v>7</v>
      </c>
      <c r="D10" s="4">
        <v>2</v>
      </c>
      <c r="E10" s="4">
        <v>1</v>
      </c>
      <c r="F10" s="4">
        <v>6</v>
      </c>
      <c r="G10" s="4">
        <v>3</v>
      </c>
      <c r="H10" s="4">
        <v>2</v>
      </c>
      <c r="I10" s="4">
        <v>2</v>
      </c>
      <c r="J10" s="5">
        <f>SUM(B10:I10)</f>
        <v>28</v>
      </c>
    </row>
    <row r="11" spans="1:10" x14ac:dyDescent="0.15">
      <c r="A11" s="3" t="s">
        <v>20</v>
      </c>
      <c r="B11" s="6">
        <f>B10/n</f>
        <v>0.17857142857142858</v>
      </c>
      <c r="C11" s="6">
        <f t="shared" ref="C11:I11" si="0">C10/n</f>
        <v>0.25</v>
      </c>
      <c r="D11" s="6">
        <f t="shared" si="0"/>
        <v>7.1428571428571425E-2</v>
      </c>
      <c r="E11" s="6">
        <f t="shared" si="0"/>
        <v>3.5714285714285712E-2</v>
      </c>
      <c r="F11" s="6">
        <f t="shared" si="0"/>
        <v>0.21428571428571427</v>
      </c>
      <c r="G11" s="6">
        <f t="shared" si="0"/>
        <v>0.10714285714285714</v>
      </c>
      <c r="H11" s="6">
        <f t="shared" si="0"/>
        <v>7.1428571428571425E-2</v>
      </c>
      <c r="I11" s="6">
        <f t="shared" si="0"/>
        <v>7.1428571428571425E-2</v>
      </c>
      <c r="J11" s="5">
        <f>SUM(B11:I11)</f>
        <v>0.99999999999999989</v>
      </c>
    </row>
    <row r="12" spans="1:10" x14ac:dyDescent="0.15">
      <c r="A12" s="1"/>
    </row>
    <row r="13" spans="1:10" x14ac:dyDescent="0.15">
      <c r="A13" s="1"/>
    </row>
    <row r="14" spans="1:10" x14ac:dyDescent="0.15">
      <c r="A14" s="1" t="s">
        <v>21</v>
      </c>
    </row>
    <row r="15" spans="1:10" x14ac:dyDescent="0.15">
      <c r="A15" s="1"/>
    </row>
    <row r="16" spans="1:10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7" spans="1:1" x14ac:dyDescent="0.15">
      <c r="A27" s="1" t="s">
        <v>22</v>
      </c>
    </row>
    <row r="55" spans="1:2" x14ac:dyDescent="0.15">
      <c r="A55" s="1" t="s">
        <v>23</v>
      </c>
      <c r="B55" t="s">
        <v>24</v>
      </c>
    </row>
    <row r="56" spans="1:2" x14ac:dyDescent="0.15">
      <c r="B56" t="s">
        <v>25</v>
      </c>
    </row>
    <row r="57" spans="1:2" x14ac:dyDescent="0.15">
      <c r="B57" t="s">
        <v>26</v>
      </c>
    </row>
    <row r="58" spans="1:2" x14ac:dyDescent="0.15">
      <c r="B58" t="s">
        <v>27</v>
      </c>
    </row>
    <row r="59" spans="1:2" x14ac:dyDescent="0.15">
      <c r="B59" t="s">
        <v>28</v>
      </c>
    </row>
    <row r="61" spans="1:2" x14ac:dyDescent="0.15">
      <c r="B61" s="7" t="s">
        <v>29</v>
      </c>
    </row>
  </sheetData>
  <printOptions horizontalCentered="1" verticalCentered="1"/>
  <pageMargins left="0.39" right="0.39" top="0.45" bottom="0.45" header="0.23" footer="0.34"/>
  <pageSetup paperSize="9" scale="65" orientation="landscape"/>
  <headerFooter alignWithMargins="0">
    <oddHeader>&amp;C&amp;"Arial,Gras"&amp;F - &amp;A&amp;R&amp;D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5D20-613C-D84C-A202-0B8B41A72460}">
  <sheetPr>
    <pageSetUpPr fitToPage="1"/>
  </sheetPr>
  <dimension ref="A1:I41"/>
  <sheetViews>
    <sheetView zoomScale="120" zoomScaleNormal="120" workbookViewId="0">
      <selection activeCell="C63" sqref="C63"/>
    </sheetView>
  </sheetViews>
  <sheetFormatPr baseColWidth="10" defaultRowHeight="13" x14ac:dyDescent="0.15"/>
  <cols>
    <col min="1" max="1" width="14.5" customWidth="1"/>
    <col min="5" max="5" width="15.1640625" customWidth="1"/>
    <col min="7" max="7" width="14.83203125" customWidth="1"/>
    <col min="8" max="8" width="12.6640625" customWidth="1"/>
    <col min="13" max="13" width="5.5" customWidth="1"/>
  </cols>
  <sheetData>
    <row r="1" spans="1:9" ht="17.25" customHeight="1" x14ac:dyDescent="0.15">
      <c r="A1" s="1" t="s">
        <v>0</v>
      </c>
      <c r="B1" s="2" t="s">
        <v>30</v>
      </c>
    </row>
    <row r="2" spans="1:9" ht="17.25" customHeight="1" x14ac:dyDescent="0.15">
      <c r="A2" s="1" t="s">
        <v>2</v>
      </c>
      <c r="B2" s="2" t="s">
        <v>31</v>
      </c>
    </row>
    <row r="3" spans="1:9" ht="17.25" customHeight="1" x14ac:dyDescent="0.15">
      <c r="A3" s="1" t="s">
        <v>4</v>
      </c>
      <c r="B3" s="2" t="s">
        <v>32</v>
      </c>
    </row>
    <row r="4" spans="1:9" ht="17.25" customHeight="1" x14ac:dyDescent="0.15">
      <c r="A4" s="1" t="s">
        <v>6</v>
      </c>
      <c r="B4" s="2" t="s">
        <v>33</v>
      </c>
      <c r="I4" s="1" t="s">
        <v>34</v>
      </c>
    </row>
    <row r="6" spans="1:9" x14ac:dyDescent="0.15">
      <c r="D6" s="8" t="s">
        <v>35</v>
      </c>
      <c r="E6" s="8" t="s">
        <v>36</v>
      </c>
    </row>
    <row r="8" spans="1:9" s="10" customFormat="1" ht="42" x14ac:dyDescent="0.15">
      <c r="A8" s="9" t="s">
        <v>37</v>
      </c>
      <c r="B8" s="9" t="s">
        <v>38</v>
      </c>
      <c r="C8" s="9" t="s">
        <v>39</v>
      </c>
      <c r="D8" s="9" t="s">
        <v>40</v>
      </c>
      <c r="E8" s="9" t="s">
        <v>41</v>
      </c>
      <c r="F8" s="9" t="s">
        <v>42</v>
      </c>
      <c r="G8" s="9" t="s">
        <v>43</v>
      </c>
    </row>
    <row r="9" spans="1:9" x14ac:dyDescent="0.15">
      <c r="A9" s="4">
        <v>0</v>
      </c>
      <c r="B9" s="4">
        <v>7</v>
      </c>
      <c r="C9" s="4">
        <v>7</v>
      </c>
      <c r="D9" s="4">
        <f>B9/$B$16</f>
        <v>0.14000000000000001</v>
      </c>
      <c r="E9" s="4">
        <f>C9/$B$16</f>
        <v>0.14000000000000001</v>
      </c>
      <c r="F9" s="4">
        <f t="shared" ref="F9:F15" si="0">A9*B9</f>
        <v>0</v>
      </c>
      <c r="G9" s="4">
        <f t="shared" ref="G9:G15" si="1">B9*A9*A9</f>
        <v>0</v>
      </c>
    </row>
    <row r="10" spans="1:9" x14ac:dyDescent="0.15">
      <c r="A10" s="4">
        <v>1</v>
      </c>
      <c r="B10" s="4">
        <v>12</v>
      </c>
      <c r="C10" s="4">
        <f t="shared" ref="C10:C15" si="2">C9+B10</f>
        <v>19</v>
      </c>
      <c r="D10" s="4">
        <f t="shared" ref="D10:E15" si="3">B10/$B$16</f>
        <v>0.24</v>
      </c>
      <c r="E10" s="4">
        <f t="shared" si="3"/>
        <v>0.38</v>
      </c>
      <c r="F10" s="4">
        <f t="shared" si="0"/>
        <v>12</v>
      </c>
      <c r="G10" s="4">
        <f t="shared" si="1"/>
        <v>12</v>
      </c>
    </row>
    <row r="11" spans="1:9" x14ac:dyDescent="0.15">
      <c r="A11" s="4">
        <v>2</v>
      </c>
      <c r="B11" s="4">
        <v>15</v>
      </c>
      <c r="C11" s="4">
        <f t="shared" si="2"/>
        <v>34</v>
      </c>
      <c r="D11" s="4">
        <f t="shared" si="3"/>
        <v>0.3</v>
      </c>
      <c r="E11" s="4">
        <f t="shared" si="3"/>
        <v>0.68</v>
      </c>
      <c r="F11" s="4">
        <f t="shared" si="0"/>
        <v>30</v>
      </c>
      <c r="G11" s="4">
        <f t="shared" si="1"/>
        <v>60</v>
      </c>
    </row>
    <row r="12" spans="1:9" x14ac:dyDescent="0.15">
      <c r="A12" s="4">
        <v>3</v>
      </c>
      <c r="B12" s="4">
        <v>9</v>
      </c>
      <c r="C12" s="4">
        <f t="shared" si="2"/>
        <v>43</v>
      </c>
      <c r="D12" s="4">
        <f t="shared" si="3"/>
        <v>0.18</v>
      </c>
      <c r="E12" s="4">
        <f t="shared" si="3"/>
        <v>0.86</v>
      </c>
      <c r="F12" s="4">
        <f t="shared" si="0"/>
        <v>27</v>
      </c>
      <c r="G12" s="4">
        <f t="shared" si="1"/>
        <v>81</v>
      </c>
    </row>
    <row r="13" spans="1:9" x14ac:dyDescent="0.15">
      <c r="A13" s="4">
        <v>4</v>
      </c>
      <c r="B13" s="4">
        <v>4</v>
      </c>
      <c r="C13" s="4">
        <f t="shared" si="2"/>
        <v>47</v>
      </c>
      <c r="D13" s="4">
        <f t="shared" si="3"/>
        <v>0.08</v>
      </c>
      <c r="E13" s="4">
        <f t="shared" si="3"/>
        <v>0.94</v>
      </c>
      <c r="F13" s="4">
        <f t="shared" si="0"/>
        <v>16</v>
      </c>
      <c r="G13" s="4">
        <f t="shared" si="1"/>
        <v>64</v>
      </c>
    </row>
    <row r="14" spans="1:9" x14ac:dyDescent="0.15">
      <c r="A14" s="4">
        <v>5</v>
      </c>
      <c r="B14" s="4">
        <v>2</v>
      </c>
      <c r="C14" s="4">
        <f t="shared" si="2"/>
        <v>49</v>
      </c>
      <c r="D14" s="4">
        <f t="shared" si="3"/>
        <v>0.04</v>
      </c>
      <c r="E14" s="4">
        <f t="shared" si="3"/>
        <v>0.98</v>
      </c>
      <c r="F14" s="4">
        <f t="shared" si="0"/>
        <v>10</v>
      </c>
      <c r="G14" s="4">
        <f t="shared" si="1"/>
        <v>50</v>
      </c>
    </row>
    <row r="15" spans="1:9" x14ac:dyDescent="0.15">
      <c r="A15" s="11">
        <v>6</v>
      </c>
      <c r="B15" s="4">
        <v>1</v>
      </c>
      <c r="C15" s="4">
        <f t="shared" si="2"/>
        <v>50</v>
      </c>
      <c r="D15" s="4">
        <f t="shared" si="3"/>
        <v>0.02</v>
      </c>
      <c r="E15" s="4">
        <f t="shared" si="3"/>
        <v>1</v>
      </c>
      <c r="F15" s="4">
        <f t="shared" si="0"/>
        <v>6</v>
      </c>
      <c r="G15" s="4">
        <f t="shared" si="1"/>
        <v>36</v>
      </c>
    </row>
    <row r="16" spans="1:9" x14ac:dyDescent="0.15">
      <c r="A16" s="12" t="s">
        <v>44</v>
      </c>
      <c r="B16" s="5">
        <f>SUM(B9:B15)</f>
        <v>50</v>
      </c>
      <c r="D16" s="5">
        <f>SUM(D9:D15)</f>
        <v>0.99999999999999989</v>
      </c>
      <c r="F16" s="5">
        <f>SUM(F9:F15)</f>
        <v>101</v>
      </c>
      <c r="G16" s="5">
        <f>SUM(G9:G15)</f>
        <v>303</v>
      </c>
    </row>
    <row r="17" spans="1:9" x14ac:dyDescent="0.15">
      <c r="F17" s="5">
        <f>SUMPRODUCT(A9:A15,B9:B15)</f>
        <v>101</v>
      </c>
      <c r="I17" s="1" t="s">
        <v>45</v>
      </c>
    </row>
    <row r="18" spans="1:9" x14ac:dyDescent="0.15">
      <c r="A18" s="13" t="s">
        <v>46</v>
      </c>
      <c r="B18" s="5">
        <f>F17/(SUM(B9:B15))</f>
        <v>2.02</v>
      </c>
      <c r="C18" s="14" t="s">
        <v>47</v>
      </c>
      <c r="D18" s="14"/>
    </row>
    <row r="19" spans="1:9" x14ac:dyDescent="0.15">
      <c r="A19" s="13" t="s">
        <v>48</v>
      </c>
      <c r="B19" s="5">
        <v>6</v>
      </c>
      <c r="C19" s="14" t="s">
        <v>47</v>
      </c>
      <c r="D19" s="14"/>
    </row>
    <row r="20" spans="1:9" x14ac:dyDescent="0.15">
      <c r="A20" s="13" t="s">
        <v>49</v>
      </c>
      <c r="B20" s="5">
        <v>2</v>
      </c>
      <c r="C20" s="14" t="s">
        <v>47</v>
      </c>
      <c r="D20" s="14"/>
    </row>
    <row r="21" spans="1:9" x14ac:dyDescent="0.15">
      <c r="A21" s="13" t="s">
        <v>50</v>
      </c>
      <c r="B21" s="15">
        <f>G16/B16-B18*B18</f>
        <v>1.9795999999999996</v>
      </c>
      <c r="C21" s="5"/>
      <c r="D21" s="5"/>
    </row>
    <row r="22" spans="1:9" x14ac:dyDescent="0.15">
      <c r="A22" s="16" t="s">
        <v>51</v>
      </c>
      <c r="B22" s="15">
        <f>SQRT(B21)</f>
        <v>1.4069825869569246</v>
      </c>
      <c r="C22" s="14" t="s">
        <v>52</v>
      </c>
      <c r="D22" s="14"/>
    </row>
    <row r="23" spans="1:9" x14ac:dyDescent="0.15">
      <c r="A23" s="16" t="s">
        <v>53</v>
      </c>
      <c r="B23" s="5">
        <v>2</v>
      </c>
      <c r="C23" s="14" t="s">
        <v>47</v>
      </c>
      <c r="D23" s="14"/>
    </row>
    <row r="24" spans="1:9" x14ac:dyDescent="0.15">
      <c r="G24" s="12" t="s">
        <v>54</v>
      </c>
    </row>
    <row r="25" spans="1:9" x14ac:dyDescent="0.15">
      <c r="B25" s="17" t="s">
        <v>55</v>
      </c>
    </row>
    <row r="26" spans="1:9" x14ac:dyDescent="0.15">
      <c r="B26" s="17" t="s">
        <v>56</v>
      </c>
      <c r="F26" s="18"/>
    </row>
    <row r="27" spans="1:9" x14ac:dyDescent="0.15">
      <c r="B27" s="17" t="s">
        <v>57</v>
      </c>
    </row>
    <row r="30" spans="1:9" x14ac:dyDescent="0.15">
      <c r="A30" s="16" t="s">
        <v>58</v>
      </c>
    </row>
    <row r="31" spans="1:9" x14ac:dyDescent="0.15">
      <c r="A31" t="s">
        <v>59</v>
      </c>
    </row>
    <row r="32" spans="1:9" x14ac:dyDescent="0.15">
      <c r="A32" s="19" t="s">
        <v>60</v>
      </c>
    </row>
    <row r="34" spans="1:6" x14ac:dyDescent="0.15">
      <c r="B34" s="2" t="s">
        <v>61</v>
      </c>
      <c r="C34" s="2" t="s">
        <v>62</v>
      </c>
      <c r="D34" s="2"/>
      <c r="F34" s="2" t="s">
        <v>63</v>
      </c>
    </row>
    <row r="36" spans="1:6" x14ac:dyDescent="0.15">
      <c r="A36" s="2" t="s">
        <v>64</v>
      </c>
    </row>
    <row r="37" spans="1:6" x14ac:dyDescent="0.15">
      <c r="B37" s="2" t="s">
        <v>65</v>
      </c>
      <c r="E37" s="2" t="s">
        <v>66</v>
      </c>
    </row>
    <row r="38" spans="1:6" x14ac:dyDescent="0.15">
      <c r="B38" s="2" t="s">
        <v>61</v>
      </c>
      <c r="C38" s="2" t="s">
        <v>67</v>
      </c>
      <c r="D38" s="2"/>
      <c r="E38" s="2" t="s">
        <v>68</v>
      </c>
      <c r="F38" s="2" t="s">
        <v>69</v>
      </c>
    </row>
    <row r="40" spans="1:6" x14ac:dyDescent="0.15">
      <c r="B40" s="2" t="s">
        <v>70</v>
      </c>
    </row>
    <row r="41" spans="1:6" ht="15" x14ac:dyDescent="0.2">
      <c r="B41" s="2" t="s">
        <v>71</v>
      </c>
      <c r="E41" s="2" t="s">
        <v>72</v>
      </c>
      <c r="F41" s="2" t="s">
        <v>73</v>
      </c>
    </row>
  </sheetData>
  <printOptions horizontalCentered="1" verticalCentered="1"/>
  <pageMargins left="0.39000000000000007" right="0.39000000000000007" top="0.59" bottom="0.37" header="0.31" footer="0.27"/>
  <pageSetup paperSize="9" scale="87" orientation="landscape"/>
  <headerFooter alignWithMargins="0">
    <oddHeader>&amp;C&amp;"Arial,Gras"&amp;F - &amp;A&amp;R&amp;D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BDDE-38A9-D444-8BD1-88A7C12DA0B1}">
  <dimension ref="A1:V169"/>
  <sheetViews>
    <sheetView zoomScale="95" zoomScaleNormal="95" workbookViewId="0">
      <selection activeCell="B9" sqref="B9"/>
    </sheetView>
  </sheetViews>
  <sheetFormatPr baseColWidth="10" defaultRowHeight="13" x14ac:dyDescent="0.15"/>
  <cols>
    <col min="1" max="1" width="13.33203125" style="21" customWidth="1"/>
    <col min="2" max="2" width="9.6640625" style="21" customWidth="1"/>
    <col min="3" max="3" width="18" style="21" customWidth="1"/>
    <col min="4" max="4" width="17.33203125" style="21" customWidth="1"/>
    <col min="5" max="6" width="12.6640625" style="21" customWidth="1"/>
    <col min="7" max="7" width="14" style="21" customWidth="1"/>
    <col min="8" max="8" width="12.6640625" style="21" customWidth="1"/>
    <col min="9" max="9" width="10.33203125" style="21" customWidth="1"/>
    <col min="10" max="10" width="9.1640625" style="21" customWidth="1"/>
    <col min="11" max="11" width="10.83203125" style="21"/>
    <col min="12" max="12" width="4.83203125" style="21" customWidth="1"/>
    <col min="13" max="13" width="13.6640625" style="21" customWidth="1"/>
    <col min="14" max="14" width="22.83203125" style="21" customWidth="1"/>
    <col min="15" max="15" width="4.83203125" style="21" customWidth="1"/>
    <col min="16" max="16" width="10.1640625" style="21" customWidth="1"/>
    <col min="17" max="17" width="11" style="21" customWidth="1"/>
    <col min="18" max="18" width="5" style="21" customWidth="1"/>
    <col min="19" max="19" width="20.5" style="21" customWidth="1"/>
    <col min="20" max="20" width="9.83203125" style="21" customWidth="1"/>
    <col min="21" max="21" width="9" style="21" customWidth="1"/>
    <col min="22" max="25" width="10.83203125" style="21"/>
    <col min="26" max="26" width="9.1640625" style="21" customWidth="1"/>
    <col min="27" max="16384" width="10.83203125" style="21"/>
  </cols>
  <sheetData>
    <row r="1" spans="1:10" ht="17.25" customHeight="1" x14ac:dyDescent="0.15">
      <c r="A1" s="20" t="s">
        <v>0</v>
      </c>
      <c r="B1" s="21" t="s">
        <v>74</v>
      </c>
    </row>
    <row r="2" spans="1:10" ht="17.25" customHeight="1" x14ac:dyDescent="0.15">
      <c r="A2" s="20" t="s">
        <v>2</v>
      </c>
      <c r="B2" s="21" t="s">
        <v>75</v>
      </c>
    </row>
    <row r="3" spans="1:10" ht="17.25" customHeight="1" x14ac:dyDescent="0.15">
      <c r="A3" s="20" t="s">
        <v>4</v>
      </c>
      <c r="B3" s="21" t="s">
        <v>76</v>
      </c>
    </row>
    <row r="4" spans="1:10" ht="17.25" customHeight="1" x14ac:dyDescent="0.15">
      <c r="A4" s="20" t="s">
        <v>6</v>
      </c>
      <c r="B4" s="21" t="s">
        <v>77</v>
      </c>
    </row>
    <row r="5" spans="1:10" x14ac:dyDescent="0.15">
      <c r="D5" s="22" t="s">
        <v>78</v>
      </c>
    </row>
    <row r="6" spans="1:10" x14ac:dyDescent="0.15">
      <c r="A6" s="20" t="s">
        <v>79</v>
      </c>
      <c r="D6" s="22" t="s">
        <v>80</v>
      </c>
      <c r="E6" s="23">
        <f>SQRT(100)</f>
        <v>10</v>
      </c>
      <c r="G6" s="20" t="s">
        <v>81</v>
      </c>
      <c r="I6" s="21" t="s">
        <v>82</v>
      </c>
      <c r="J6" s="21" t="s">
        <v>83</v>
      </c>
    </row>
    <row r="7" spans="1:10" x14ac:dyDescent="0.15">
      <c r="C7" s="21" t="s">
        <v>84</v>
      </c>
      <c r="D7" s="22" t="s">
        <v>85</v>
      </c>
      <c r="E7" s="24">
        <f>1+3.322*LOG(100)</f>
        <v>7.6440000000000001</v>
      </c>
    </row>
    <row r="8" spans="1:10" x14ac:dyDescent="0.15">
      <c r="D8" s="21" t="s">
        <v>86</v>
      </c>
    </row>
    <row r="10" spans="1:10" s="27" customFormat="1" ht="56" x14ac:dyDescent="0.15">
      <c r="A10" s="25" t="s">
        <v>87</v>
      </c>
      <c r="B10" s="26" t="s">
        <v>88</v>
      </c>
      <c r="D10" s="28" t="s">
        <v>89</v>
      </c>
      <c r="E10" s="29" t="s">
        <v>19</v>
      </c>
      <c r="F10" s="29" t="s">
        <v>90</v>
      </c>
      <c r="G10" s="29" t="s">
        <v>91</v>
      </c>
      <c r="H10" s="29" t="s">
        <v>92</v>
      </c>
      <c r="I10" s="29" t="s">
        <v>93</v>
      </c>
      <c r="J10" s="26"/>
    </row>
    <row r="11" spans="1:10" x14ac:dyDescent="0.15">
      <c r="A11" s="30">
        <v>144</v>
      </c>
      <c r="B11" s="30">
        <v>142.5</v>
      </c>
      <c r="D11" s="31">
        <v>142.5</v>
      </c>
      <c r="E11" s="32"/>
      <c r="F11" s="33"/>
      <c r="G11" s="34"/>
      <c r="H11" s="34"/>
      <c r="I11" s="35">
        <v>0</v>
      </c>
    </row>
    <row r="12" spans="1:10" x14ac:dyDescent="0.15">
      <c r="A12" s="30">
        <v>149</v>
      </c>
      <c r="B12" s="30">
        <f t="shared" ref="B12:B23" si="0">B11+5</f>
        <v>147.5</v>
      </c>
      <c r="D12" s="36"/>
      <c r="E12" s="37">
        <v>1</v>
      </c>
      <c r="F12" s="38">
        <v>145</v>
      </c>
      <c r="G12" s="39">
        <f>E12*F12</f>
        <v>145</v>
      </c>
      <c r="H12" s="39">
        <f>E12*F12*F12</f>
        <v>21025</v>
      </c>
      <c r="I12" s="40"/>
    </row>
    <row r="13" spans="1:10" x14ac:dyDescent="0.15">
      <c r="A13" s="30">
        <v>156</v>
      </c>
      <c r="B13" s="30">
        <f t="shared" si="0"/>
        <v>152.5</v>
      </c>
      <c r="D13" s="36">
        <f>D11+5</f>
        <v>147.5</v>
      </c>
      <c r="E13" s="39"/>
      <c r="F13" s="38"/>
      <c r="G13" s="39"/>
      <c r="H13" s="39"/>
      <c r="I13" s="40">
        <f>1/100</f>
        <v>0.01</v>
      </c>
    </row>
    <row r="14" spans="1:10" x14ac:dyDescent="0.15">
      <c r="A14" s="30">
        <v>158</v>
      </c>
      <c r="B14" s="30">
        <f t="shared" si="0"/>
        <v>157.5</v>
      </c>
      <c r="D14" s="36"/>
      <c r="E14" s="37">
        <v>1</v>
      </c>
      <c r="F14" s="38">
        <v>150</v>
      </c>
      <c r="G14" s="39">
        <f>E14*F14</f>
        <v>150</v>
      </c>
      <c r="H14" s="39">
        <f>E14*F14*F14</f>
        <v>22500</v>
      </c>
      <c r="I14" s="40"/>
    </row>
    <row r="15" spans="1:10" x14ac:dyDescent="0.15">
      <c r="A15" s="30">
        <v>159</v>
      </c>
      <c r="B15" s="30">
        <f t="shared" si="0"/>
        <v>162.5</v>
      </c>
      <c r="D15" s="36">
        <f>D13+5</f>
        <v>152.5</v>
      </c>
      <c r="E15" s="39"/>
      <c r="F15" s="38"/>
      <c r="G15" s="39"/>
      <c r="H15" s="39"/>
      <c r="I15" s="40">
        <f>I13+E14/100</f>
        <v>0.02</v>
      </c>
    </row>
    <row r="16" spans="1:10" x14ac:dyDescent="0.15">
      <c r="A16" s="30">
        <v>159</v>
      </c>
      <c r="B16" s="30">
        <f t="shared" si="0"/>
        <v>167.5</v>
      </c>
      <c r="D16" s="36"/>
      <c r="E16" s="37">
        <v>1</v>
      </c>
      <c r="F16" s="38">
        <v>155</v>
      </c>
      <c r="G16" s="39">
        <f>E16*F16</f>
        <v>155</v>
      </c>
      <c r="H16" s="39">
        <f>E16*F16*F16</f>
        <v>24025</v>
      </c>
      <c r="I16" s="40"/>
    </row>
    <row r="17" spans="1:14" x14ac:dyDescent="0.15">
      <c r="A17" s="30">
        <v>160</v>
      </c>
      <c r="B17" s="30">
        <f t="shared" si="0"/>
        <v>172.5</v>
      </c>
      <c r="D17" s="36">
        <f>D15+5</f>
        <v>157.5</v>
      </c>
      <c r="E17" s="39"/>
      <c r="F17" s="38"/>
      <c r="G17" s="39"/>
      <c r="H17" s="39"/>
      <c r="I17" s="40">
        <f t="shared" ref="I17:I35" si="1">I15+E16/100</f>
        <v>0.03</v>
      </c>
    </row>
    <row r="18" spans="1:14" x14ac:dyDescent="0.15">
      <c r="A18" s="30">
        <v>160</v>
      </c>
      <c r="B18" s="30">
        <f t="shared" si="0"/>
        <v>177.5</v>
      </c>
      <c r="D18" s="36"/>
      <c r="E18" s="37">
        <v>6</v>
      </c>
      <c r="F18" s="38">
        <v>160</v>
      </c>
      <c r="G18" s="39">
        <f>E18*F18</f>
        <v>960</v>
      </c>
      <c r="H18" s="39">
        <f>E18*F18*F18</f>
        <v>153600</v>
      </c>
      <c r="I18" s="40"/>
      <c r="N18" s="41"/>
    </row>
    <row r="19" spans="1:14" x14ac:dyDescent="0.15">
      <c r="A19" s="30">
        <v>161</v>
      </c>
      <c r="B19" s="30">
        <f t="shared" si="0"/>
        <v>182.5</v>
      </c>
      <c r="D19" s="36">
        <f>D17+5</f>
        <v>162.5</v>
      </c>
      <c r="E19" s="39"/>
      <c r="F19" s="38"/>
      <c r="G19" s="39"/>
      <c r="H19" s="39"/>
      <c r="I19" s="40">
        <f t="shared" si="1"/>
        <v>0.09</v>
      </c>
    </row>
    <row r="20" spans="1:14" x14ac:dyDescent="0.15">
      <c r="A20" s="30">
        <v>163</v>
      </c>
      <c r="B20" s="30">
        <f t="shared" si="0"/>
        <v>187.5</v>
      </c>
      <c r="D20" s="36"/>
      <c r="E20" s="37">
        <v>12</v>
      </c>
      <c r="F20" s="38">
        <v>165</v>
      </c>
      <c r="G20" s="39">
        <f>E20*F20</f>
        <v>1980</v>
      </c>
      <c r="H20" s="39">
        <f>E20*F20*F20</f>
        <v>326700</v>
      </c>
      <c r="I20" s="40"/>
    </row>
    <row r="21" spans="1:14" x14ac:dyDescent="0.15">
      <c r="A21" s="30">
        <v>163</v>
      </c>
      <c r="B21" s="30">
        <f t="shared" si="0"/>
        <v>192.5</v>
      </c>
      <c r="D21" s="36">
        <f>D19+5</f>
        <v>167.5</v>
      </c>
      <c r="E21" s="39"/>
      <c r="F21" s="38"/>
      <c r="G21" s="39"/>
      <c r="H21" s="39"/>
      <c r="I21" s="40">
        <f t="shared" si="1"/>
        <v>0.21</v>
      </c>
    </row>
    <row r="22" spans="1:14" x14ac:dyDescent="0.15">
      <c r="A22" s="30">
        <v>163</v>
      </c>
      <c r="B22" s="30">
        <f t="shared" si="0"/>
        <v>197.5</v>
      </c>
      <c r="D22" s="36"/>
      <c r="E22" s="37">
        <v>17</v>
      </c>
      <c r="F22" s="38">
        <v>170</v>
      </c>
      <c r="G22" s="39">
        <f>E22*F22</f>
        <v>2890</v>
      </c>
      <c r="H22" s="39">
        <f>E22*F22*F22</f>
        <v>491300</v>
      </c>
      <c r="I22" s="40"/>
    </row>
    <row r="23" spans="1:14" x14ac:dyDescent="0.15">
      <c r="A23" s="30">
        <v>164</v>
      </c>
      <c r="B23" s="30">
        <f t="shared" si="0"/>
        <v>202.5</v>
      </c>
      <c r="D23" s="36">
        <f>D21+5</f>
        <v>172.5</v>
      </c>
      <c r="E23" s="39"/>
      <c r="F23" s="38"/>
      <c r="G23" s="39"/>
      <c r="H23" s="39"/>
      <c r="I23" s="40">
        <f t="shared" si="1"/>
        <v>0.38</v>
      </c>
    </row>
    <row r="24" spans="1:14" x14ac:dyDescent="0.15">
      <c r="A24" s="30">
        <v>165</v>
      </c>
      <c r="D24" s="36"/>
      <c r="E24" s="37">
        <v>26</v>
      </c>
      <c r="F24" s="38">
        <v>175</v>
      </c>
      <c r="G24" s="39">
        <f>E24*F24</f>
        <v>4550</v>
      </c>
      <c r="H24" s="39">
        <f>E24*F24*F24</f>
        <v>796250</v>
      </c>
      <c r="I24" s="40"/>
    </row>
    <row r="25" spans="1:14" x14ac:dyDescent="0.15">
      <c r="A25" s="30">
        <v>165</v>
      </c>
      <c r="D25" s="36">
        <f>D23+5</f>
        <v>177.5</v>
      </c>
      <c r="E25" s="39"/>
      <c r="F25" s="38"/>
      <c r="G25" s="39"/>
      <c r="H25" s="39"/>
      <c r="I25" s="40">
        <f t="shared" si="1"/>
        <v>0.64</v>
      </c>
    </row>
    <row r="26" spans="1:14" x14ac:dyDescent="0.15">
      <c r="A26" s="30">
        <v>166</v>
      </c>
      <c r="D26" s="36"/>
      <c r="E26" s="37">
        <v>17</v>
      </c>
      <c r="F26" s="38">
        <v>180</v>
      </c>
      <c r="G26" s="39">
        <f>E26*F26</f>
        <v>3060</v>
      </c>
      <c r="H26" s="39">
        <f>E26*F26*F26</f>
        <v>550800</v>
      </c>
      <c r="I26" s="40"/>
    </row>
    <row r="27" spans="1:14" x14ac:dyDescent="0.15">
      <c r="A27" s="30">
        <v>166</v>
      </c>
      <c r="D27" s="36">
        <f>D25+5</f>
        <v>182.5</v>
      </c>
      <c r="E27" s="39"/>
      <c r="F27" s="38"/>
      <c r="G27" s="39"/>
      <c r="H27" s="39"/>
      <c r="I27" s="40">
        <f t="shared" si="1"/>
        <v>0.81</v>
      </c>
    </row>
    <row r="28" spans="1:14" x14ac:dyDescent="0.15">
      <c r="A28" s="30">
        <v>166</v>
      </c>
      <c r="D28" s="36"/>
      <c r="E28" s="37">
        <v>6</v>
      </c>
      <c r="F28" s="38">
        <v>185</v>
      </c>
      <c r="G28" s="39">
        <f>E28*F28</f>
        <v>1110</v>
      </c>
      <c r="H28" s="39">
        <f>E28*F28*F28</f>
        <v>205350</v>
      </c>
      <c r="I28" s="40"/>
    </row>
    <row r="29" spans="1:14" x14ac:dyDescent="0.15">
      <c r="A29" s="30">
        <v>167</v>
      </c>
      <c r="D29" s="36">
        <f>D27+5</f>
        <v>187.5</v>
      </c>
      <c r="E29" s="39"/>
      <c r="F29" s="38"/>
      <c r="G29" s="39"/>
      <c r="H29" s="39"/>
      <c r="I29" s="40">
        <f t="shared" si="1"/>
        <v>0.87000000000000011</v>
      </c>
    </row>
    <row r="30" spans="1:14" x14ac:dyDescent="0.15">
      <c r="A30" s="30">
        <v>167</v>
      </c>
      <c r="D30" s="36"/>
      <c r="E30" s="37">
        <v>8</v>
      </c>
      <c r="F30" s="38">
        <v>190</v>
      </c>
      <c r="G30" s="39">
        <f>E30*F30</f>
        <v>1520</v>
      </c>
      <c r="H30" s="39">
        <f>E30*F30*F30</f>
        <v>288800</v>
      </c>
      <c r="I30" s="40"/>
    </row>
    <row r="31" spans="1:14" x14ac:dyDescent="0.15">
      <c r="A31" s="30">
        <v>167</v>
      </c>
      <c r="D31" s="36">
        <f>D29+5</f>
        <v>192.5</v>
      </c>
      <c r="E31" s="39"/>
      <c r="F31" s="38"/>
      <c r="G31" s="39"/>
      <c r="H31" s="39"/>
      <c r="I31" s="40">
        <f t="shared" si="1"/>
        <v>0.95000000000000007</v>
      </c>
    </row>
    <row r="32" spans="1:14" x14ac:dyDescent="0.15">
      <c r="A32" s="30">
        <v>168</v>
      </c>
      <c r="D32" s="36"/>
      <c r="E32" s="37">
        <v>4</v>
      </c>
      <c r="F32" s="38">
        <v>195</v>
      </c>
      <c r="G32" s="39">
        <f>E32*F32</f>
        <v>780</v>
      </c>
      <c r="H32" s="39">
        <f>E32*F32*F32</f>
        <v>152100</v>
      </c>
      <c r="I32" s="40"/>
    </row>
    <row r="33" spans="1:22" x14ac:dyDescent="0.15">
      <c r="A33" s="30">
        <v>168</v>
      </c>
      <c r="D33" s="36">
        <f>D31+5</f>
        <v>197.5</v>
      </c>
      <c r="E33" s="39"/>
      <c r="F33" s="38"/>
      <c r="G33" s="39"/>
      <c r="H33" s="39"/>
      <c r="I33" s="40">
        <f t="shared" si="1"/>
        <v>0.9900000000000001</v>
      </c>
    </row>
    <row r="34" spans="1:22" x14ac:dyDescent="0.15">
      <c r="A34" s="30">
        <v>168</v>
      </c>
      <c r="D34" s="36"/>
      <c r="E34" s="37">
        <v>1</v>
      </c>
      <c r="F34" s="38">
        <v>200</v>
      </c>
      <c r="G34" s="39">
        <f>E34*F34</f>
        <v>200</v>
      </c>
      <c r="H34" s="39">
        <f>E34*F34*F34</f>
        <v>40000</v>
      </c>
      <c r="I34" s="40"/>
    </row>
    <row r="35" spans="1:22" x14ac:dyDescent="0.15">
      <c r="A35" s="30">
        <v>169</v>
      </c>
      <c r="D35" s="42">
        <f>D33+5</f>
        <v>202.5</v>
      </c>
      <c r="E35" s="43"/>
      <c r="F35" s="44"/>
      <c r="G35" s="45"/>
      <c r="H35" s="45"/>
      <c r="I35" s="43">
        <f t="shared" si="1"/>
        <v>1</v>
      </c>
    </row>
    <row r="36" spans="1:22" x14ac:dyDescent="0.15">
      <c r="A36" s="30">
        <v>169</v>
      </c>
      <c r="E36" s="46">
        <f>SUM(E12:E35)</f>
        <v>100</v>
      </c>
      <c r="G36" s="46">
        <f>SUM(G12:G35)</f>
        <v>17500</v>
      </c>
      <c r="H36" s="46">
        <f>SUM(H12:H35)</f>
        <v>3072450</v>
      </c>
    </row>
    <row r="37" spans="1:22" x14ac:dyDescent="0.15">
      <c r="A37" s="30">
        <v>169</v>
      </c>
      <c r="E37" s="30" t="s">
        <v>94</v>
      </c>
      <c r="G37" s="30">
        <f>SUMPRODUCT(E12:E34,F12:F34)</f>
        <v>17500</v>
      </c>
    </row>
    <row r="38" spans="1:22" x14ac:dyDescent="0.15">
      <c r="A38" s="30">
        <v>169</v>
      </c>
      <c r="G38" s="47" t="s">
        <v>95</v>
      </c>
    </row>
    <row r="39" spans="1:22" x14ac:dyDescent="0.15">
      <c r="A39" s="30">
        <v>170</v>
      </c>
      <c r="B39" s="48" t="s">
        <v>96</v>
      </c>
      <c r="M39" s="48" t="s">
        <v>97</v>
      </c>
      <c r="S39" s="49" t="s">
        <v>98</v>
      </c>
    </row>
    <row r="40" spans="1:22" ht="14" thickBot="1" x14ac:dyDescent="0.2">
      <c r="A40" s="30">
        <v>170</v>
      </c>
      <c r="M40" s="48"/>
    </row>
    <row r="41" spans="1:22" x14ac:dyDescent="0.15">
      <c r="A41" s="30">
        <v>170</v>
      </c>
      <c r="C41" s="23" t="s">
        <v>46</v>
      </c>
      <c r="D41" s="50">
        <f>G36/100</f>
        <v>175</v>
      </c>
      <c r="E41" s="21" t="s">
        <v>99</v>
      </c>
      <c r="S41" s="51" t="s">
        <v>87</v>
      </c>
      <c r="T41" s="51"/>
    </row>
    <row r="42" spans="1:22" x14ac:dyDescent="0.15">
      <c r="A42" s="30">
        <v>171</v>
      </c>
      <c r="C42" s="23"/>
      <c r="D42" s="30"/>
      <c r="M42" s="13" t="s">
        <v>46</v>
      </c>
      <c r="P42" s="30">
        <f>T43</f>
        <v>174.97</v>
      </c>
      <c r="Q42" s="30" t="s">
        <v>99</v>
      </c>
      <c r="S42" s="52"/>
      <c r="T42" s="52"/>
    </row>
    <row r="43" spans="1:22" x14ac:dyDescent="0.15">
      <c r="A43" s="30">
        <v>171</v>
      </c>
      <c r="C43" s="23" t="s">
        <v>48</v>
      </c>
      <c r="D43" s="53" t="s">
        <v>100</v>
      </c>
      <c r="E43" s="53">
        <f>202.5-142.5</f>
        <v>60</v>
      </c>
      <c r="F43" s="21" t="s">
        <v>99</v>
      </c>
      <c r="M43" s="13"/>
      <c r="P43" s="30"/>
      <c r="Q43" s="30"/>
      <c r="S43" s="52" t="s">
        <v>101</v>
      </c>
      <c r="T43" s="21">
        <f>AVERAGE(A11:A110)</f>
        <v>174.97</v>
      </c>
      <c r="V43" s="20" t="s">
        <v>102</v>
      </c>
    </row>
    <row r="44" spans="1:22" x14ac:dyDescent="0.15">
      <c r="A44" s="30">
        <v>171</v>
      </c>
      <c r="C44" s="23"/>
      <c r="D44" s="30"/>
      <c r="E44" s="30"/>
      <c r="M44" s="13" t="s">
        <v>48</v>
      </c>
      <c r="P44" s="30">
        <f>T49-T48</f>
        <v>57</v>
      </c>
      <c r="Q44" s="30" t="s">
        <v>99</v>
      </c>
      <c r="S44" s="52" t="s">
        <v>103</v>
      </c>
      <c r="T44" s="21">
        <f>MEDIAN(A11:A110)</f>
        <v>175</v>
      </c>
      <c r="V44" s="20" t="s">
        <v>104</v>
      </c>
    </row>
    <row r="45" spans="1:22" x14ac:dyDescent="0.15">
      <c r="A45" s="30">
        <v>171</v>
      </c>
      <c r="C45" s="23" t="s">
        <v>105</v>
      </c>
      <c r="D45" s="30" t="s">
        <v>106</v>
      </c>
      <c r="M45"/>
      <c r="P45" s="30"/>
      <c r="Q45" s="30"/>
      <c r="S45" s="52" t="s">
        <v>107</v>
      </c>
      <c r="T45" s="21">
        <f>MODE(A11:A110)</f>
        <v>175</v>
      </c>
      <c r="V45" s="20" t="s">
        <v>108</v>
      </c>
    </row>
    <row r="46" spans="1:22" x14ac:dyDescent="0.15">
      <c r="A46" s="30">
        <v>172</v>
      </c>
      <c r="C46" s="23"/>
      <c r="M46"/>
      <c r="P46" s="30"/>
      <c r="Q46" s="30"/>
      <c r="S46" s="52" t="s">
        <v>109</v>
      </c>
      <c r="T46" s="54">
        <f>_xlfn.STDEV.P(A11:A110)</f>
        <v>10.100945500298474</v>
      </c>
      <c r="U46" s="54"/>
      <c r="V46" s="20" t="s">
        <v>110</v>
      </c>
    </row>
    <row r="47" spans="1:22" x14ac:dyDescent="0.15">
      <c r="A47" s="30">
        <v>172</v>
      </c>
      <c r="C47" s="23" t="s">
        <v>50</v>
      </c>
      <c r="D47" s="30">
        <f>H36/100-D41*D41</f>
        <v>99.5</v>
      </c>
      <c r="M47"/>
      <c r="P47" s="30"/>
      <c r="Q47" s="30"/>
      <c r="S47" s="52" t="s">
        <v>111</v>
      </c>
      <c r="T47" s="54">
        <f>_xlfn.VAR.P(A11:A110)</f>
        <v>102.02909999999999</v>
      </c>
      <c r="V47" s="20" t="s">
        <v>112</v>
      </c>
    </row>
    <row r="48" spans="1:22" x14ac:dyDescent="0.15">
      <c r="A48" s="30">
        <v>172</v>
      </c>
      <c r="C48" s="23"/>
      <c r="D48" s="30"/>
      <c r="M48" s="13" t="s">
        <v>50</v>
      </c>
      <c r="P48" s="55">
        <f>T47</f>
        <v>102.02909999999999</v>
      </c>
      <c r="Q48" s="30"/>
      <c r="S48" s="52" t="s">
        <v>113</v>
      </c>
      <c r="T48" s="21">
        <f>MIN(A11:A110)</f>
        <v>144</v>
      </c>
      <c r="V48" s="20" t="s">
        <v>114</v>
      </c>
    </row>
    <row r="49" spans="1:22" x14ac:dyDescent="0.15">
      <c r="A49" s="30">
        <v>173</v>
      </c>
      <c r="C49" s="56" t="s">
        <v>51</v>
      </c>
      <c r="D49" s="55">
        <f>SQRT(D47)</f>
        <v>9.9749686716300019</v>
      </c>
      <c r="E49" s="21" t="s">
        <v>99</v>
      </c>
      <c r="M49" s="13"/>
      <c r="P49" s="30"/>
      <c r="Q49" s="30"/>
      <c r="S49" s="52" t="s">
        <v>115</v>
      </c>
      <c r="T49" s="21">
        <f>MAX(A11:A110)</f>
        <v>201</v>
      </c>
      <c r="V49" s="20" t="s">
        <v>116</v>
      </c>
    </row>
    <row r="50" spans="1:22" x14ac:dyDescent="0.15">
      <c r="A50" s="30">
        <v>173</v>
      </c>
      <c r="C50" s="56"/>
      <c r="D50" s="55"/>
      <c r="M50" s="16" t="s">
        <v>51</v>
      </c>
      <c r="P50" s="55">
        <f>SQRT(P48)</f>
        <v>10.100945500298474</v>
      </c>
      <c r="Q50" s="30" t="s">
        <v>99</v>
      </c>
      <c r="S50" s="52" t="s">
        <v>117</v>
      </c>
      <c r="T50" s="21">
        <f>SUM(A11:A110)</f>
        <v>17497</v>
      </c>
      <c r="V50" s="20" t="s">
        <v>118</v>
      </c>
    </row>
    <row r="51" spans="1:22" x14ac:dyDescent="0.15">
      <c r="A51" s="30">
        <v>173</v>
      </c>
      <c r="C51" s="56" t="s">
        <v>53</v>
      </c>
      <c r="D51" s="21" t="s">
        <v>119</v>
      </c>
      <c r="M51" s="16"/>
      <c r="P51" s="30"/>
      <c r="Q51" s="30"/>
      <c r="S51" s="52" t="s">
        <v>120</v>
      </c>
      <c r="T51" s="21">
        <f>COUNT(A11:A110)</f>
        <v>100</v>
      </c>
      <c r="V51" s="20" t="s">
        <v>121</v>
      </c>
    </row>
    <row r="52" spans="1:22" x14ac:dyDescent="0.15">
      <c r="A52" s="30">
        <v>174</v>
      </c>
      <c r="D52" s="21" t="s">
        <v>122</v>
      </c>
      <c r="E52" s="21" t="s">
        <v>123</v>
      </c>
      <c r="M52" s="2" t="s">
        <v>53</v>
      </c>
      <c r="P52" s="30">
        <f>T44</f>
        <v>175</v>
      </c>
      <c r="Q52" s="30" t="s">
        <v>99</v>
      </c>
      <c r="S52" s="21" t="s">
        <v>124</v>
      </c>
      <c r="T52" s="21">
        <f>_xlfn.QUARTILE.INC(A11:A110,1)</f>
        <v>169</v>
      </c>
      <c r="U52" s="53" t="s">
        <v>125</v>
      </c>
      <c r="V52" s="20" t="s">
        <v>126</v>
      </c>
    </row>
    <row r="53" spans="1:22" x14ac:dyDescent="0.15">
      <c r="A53" s="30">
        <v>174</v>
      </c>
      <c r="H53" s="57" t="s">
        <v>127</v>
      </c>
      <c r="I53" s="24">
        <f>172.5+(177.5-172.5)*(0.5-0.38)/(0.64-0.38)</f>
        <v>174.80769230769232</v>
      </c>
      <c r="M53"/>
      <c r="P53" s="30"/>
      <c r="Q53" s="30"/>
      <c r="T53" s="21">
        <f>_xlfn.QUARTILE.INC(A11:A110,2)</f>
        <v>175</v>
      </c>
      <c r="U53" s="53" t="s">
        <v>128</v>
      </c>
    </row>
    <row r="54" spans="1:22" x14ac:dyDescent="0.15">
      <c r="A54" s="30">
        <v>174</v>
      </c>
      <c r="H54" s="57"/>
      <c r="I54" s="23"/>
      <c r="M54" s="2" t="s">
        <v>129</v>
      </c>
      <c r="P54" s="50">
        <f>P50/P42*100</f>
        <v>5.7729585073432439</v>
      </c>
      <c r="Q54" s="30" t="s">
        <v>130</v>
      </c>
      <c r="T54" s="21">
        <f>_xlfn.QUARTILE.INC(A11:A110,3)</f>
        <v>181</v>
      </c>
      <c r="U54" s="53" t="s">
        <v>131</v>
      </c>
    </row>
    <row r="55" spans="1:22" x14ac:dyDescent="0.15">
      <c r="A55" s="30">
        <v>174</v>
      </c>
      <c r="C55" s="56" t="s">
        <v>132</v>
      </c>
      <c r="D55" s="46">
        <f>189-163</f>
        <v>26</v>
      </c>
      <c r="E55" s="21" t="s">
        <v>99</v>
      </c>
      <c r="F55" s="21" t="s">
        <v>133</v>
      </c>
      <c r="H55" s="57"/>
      <c r="I55" s="23"/>
      <c r="M55"/>
      <c r="P55" s="30"/>
      <c r="S55" s="21" t="s">
        <v>134</v>
      </c>
      <c r="T55" s="21">
        <f>T54-T52</f>
        <v>12</v>
      </c>
      <c r="U55" s="53" t="s">
        <v>135</v>
      </c>
    </row>
    <row r="56" spans="1:22" x14ac:dyDescent="0.15">
      <c r="A56" s="30">
        <v>174</v>
      </c>
      <c r="D56" s="21" t="s">
        <v>136</v>
      </c>
      <c r="G56" s="21" t="s">
        <v>137</v>
      </c>
      <c r="H56" s="57"/>
      <c r="I56" s="23"/>
      <c r="M56"/>
      <c r="P56" s="30"/>
      <c r="Q56" s="30"/>
      <c r="S56" s="22" t="s">
        <v>138</v>
      </c>
      <c r="T56" s="21">
        <f>_xlfn.PERCENTILE.INC(A11:A110,0.1)</f>
        <v>163</v>
      </c>
      <c r="U56" s="53" t="s">
        <v>139</v>
      </c>
      <c r="V56" s="20" t="s">
        <v>140</v>
      </c>
    </row>
    <row r="57" spans="1:22" x14ac:dyDescent="0.15">
      <c r="A57" s="30">
        <v>174</v>
      </c>
      <c r="C57" s="58">
        <v>0.1</v>
      </c>
      <c r="D57" s="21" t="s">
        <v>141</v>
      </c>
      <c r="E57" s="21" t="s">
        <v>142</v>
      </c>
      <c r="H57" s="57"/>
      <c r="I57" s="23"/>
      <c r="M57"/>
      <c r="P57" s="30"/>
      <c r="Q57" s="30"/>
      <c r="T57" s="21">
        <f>_xlfn.PERCENTILE.INC(A11:A110,0.9)</f>
        <v>189</v>
      </c>
      <c r="U57" s="53" t="s">
        <v>143</v>
      </c>
      <c r="V57" s="20" t="s">
        <v>144</v>
      </c>
    </row>
    <row r="58" spans="1:22" x14ac:dyDescent="0.15">
      <c r="A58" s="30">
        <v>175</v>
      </c>
      <c r="C58" s="58"/>
      <c r="H58" s="57" t="s">
        <v>145</v>
      </c>
      <c r="I58" s="24">
        <f>162.5+(167.5-162.5)*(0.1-0.09)/(0.21-0.09)</f>
        <v>162.91666666666666</v>
      </c>
      <c r="M58" s="2" t="s">
        <v>146</v>
      </c>
      <c r="P58" s="59">
        <f>3*(P42-P52)/P50</f>
        <v>-8.9100569840064956E-3</v>
      </c>
      <c r="Q58" s="30"/>
      <c r="S58" s="21" t="s">
        <v>147</v>
      </c>
      <c r="T58" s="21">
        <f>T57-T56</f>
        <v>26</v>
      </c>
      <c r="U58" s="53" t="s">
        <v>148</v>
      </c>
    </row>
    <row r="59" spans="1:22" x14ac:dyDescent="0.15">
      <c r="A59" s="30">
        <v>175</v>
      </c>
      <c r="C59" s="58">
        <v>0.9</v>
      </c>
      <c r="D59" s="21" t="s">
        <v>149</v>
      </c>
      <c r="E59" s="21" t="s">
        <v>150</v>
      </c>
      <c r="H59" s="57"/>
      <c r="I59" s="23"/>
      <c r="M59" s="60"/>
      <c r="P59" s="59">
        <f>(P42-T45)/P50</f>
        <v>-2.9700189946688322E-3</v>
      </c>
    </row>
    <row r="60" spans="1:22" x14ac:dyDescent="0.15">
      <c r="A60" s="30">
        <v>175</v>
      </c>
      <c r="C60" s="58"/>
      <c r="H60" s="57" t="s">
        <v>151</v>
      </c>
      <c r="I60" s="24">
        <f>187.5+(192.5-187.5)*(0.9-0.87)/(0.95-0.87)</f>
        <v>189.375</v>
      </c>
      <c r="K60" s="60"/>
    </row>
    <row r="61" spans="1:22" x14ac:dyDescent="0.15">
      <c r="A61" s="30">
        <v>175</v>
      </c>
      <c r="C61" s="58"/>
      <c r="H61" s="57"/>
      <c r="I61" s="23"/>
      <c r="K61" s="60"/>
    </row>
    <row r="62" spans="1:22" x14ac:dyDescent="0.15">
      <c r="A62" s="30">
        <v>175</v>
      </c>
      <c r="C62" s="56" t="s">
        <v>152</v>
      </c>
      <c r="D62" s="30">
        <f>181-169</f>
        <v>12</v>
      </c>
      <c r="E62" s="21" t="s">
        <v>99</v>
      </c>
      <c r="F62" s="21" t="s">
        <v>153</v>
      </c>
      <c r="H62" s="57"/>
      <c r="I62" s="23"/>
    </row>
    <row r="63" spans="1:22" x14ac:dyDescent="0.15">
      <c r="A63" s="30">
        <v>175</v>
      </c>
      <c r="D63" s="21" t="s">
        <v>154</v>
      </c>
      <c r="G63" s="21" t="s">
        <v>137</v>
      </c>
      <c r="H63" s="57"/>
      <c r="I63" s="23"/>
    </row>
    <row r="64" spans="1:22" x14ac:dyDescent="0.15">
      <c r="A64" s="30">
        <v>175</v>
      </c>
      <c r="C64" s="58">
        <v>0.25</v>
      </c>
      <c r="D64" s="21" t="s">
        <v>155</v>
      </c>
      <c r="E64" s="21" t="s">
        <v>156</v>
      </c>
      <c r="H64" s="57"/>
      <c r="I64" s="23"/>
    </row>
    <row r="65" spans="1:22" x14ac:dyDescent="0.15">
      <c r="A65" s="30">
        <v>175</v>
      </c>
      <c r="C65" s="58"/>
      <c r="H65" s="57" t="s">
        <v>157</v>
      </c>
      <c r="I65" s="24">
        <f>167.5+(172.5-167.5)*(0.25-0.21)/(0.38-0.21)</f>
        <v>168.6764705882353</v>
      </c>
      <c r="K65" s="60"/>
    </row>
    <row r="66" spans="1:22" x14ac:dyDescent="0.15">
      <c r="A66" s="30">
        <v>176</v>
      </c>
      <c r="C66" s="58">
        <v>0.75</v>
      </c>
      <c r="D66" s="21" t="s">
        <v>158</v>
      </c>
      <c r="E66" s="21" t="s">
        <v>159</v>
      </c>
      <c r="H66" s="57"/>
      <c r="I66" s="23"/>
    </row>
    <row r="67" spans="1:22" x14ac:dyDescent="0.15">
      <c r="A67" s="30">
        <v>176</v>
      </c>
      <c r="C67" s="58"/>
      <c r="H67" s="57" t="s">
        <v>160</v>
      </c>
      <c r="I67" s="24">
        <f>177.5+(182.5-177.5)*(0.75-0.64)/(0.81-0.64)</f>
        <v>180.73529411764704</v>
      </c>
      <c r="K67" s="60"/>
    </row>
    <row r="68" spans="1:22" x14ac:dyDescent="0.15">
      <c r="A68" s="30">
        <v>176</v>
      </c>
    </row>
    <row r="69" spans="1:22" ht="42" x14ac:dyDescent="0.15">
      <c r="A69" s="30">
        <v>176</v>
      </c>
      <c r="C69" s="29" t="s">
        <v>161</v>
      </c>
      <c r="D69" s="29" t="s">
        <v>19</v>
      </c>
      <c r="E69" s="61"/>
      <c r="F69" s="61"/>
      <c r="G69" s="28" t="s">
        <v>162</v>
      </c>
      <c r="H69" s="29" t="s">
        <v>163</v>
      </c>
      <c r="N69" s="49" t="s">
        <v>164</v>
      </c>
      <c r="Q69" s="52" t="s">
        <v>113</v>
      </c>
      <c r="T69" s="21">
        <f>MIN(A11:A110)</f>
        <v>144</v>
      </c>
    </row>
    <row r="70" spans="1:22" x14ac:dyDescent="0.15">
      <c r="A70" s="30">
        <v>176</v>
      </c>
      <c r="C70" s="32">
        <v>145</v>
      </c>
      <c r="D70" s="37">
        <v>1</v>
      </c>
      <c r="E70" s="62"/>
      <c r="F70" s="62"/>
      <c r="G70" s="32">
        <v>142.5</v>
      </c>
      <c r="H70" s="35">
        <v>0</v>
      </c>
      <c r="Q70" s="52" t="s">
        <v>115</v>
      </c>
      <c r="T70" s="21">
        <f>MAX(A11:A110)</f>
        <v>201</v>
      </c>
    </row>
    <row r="71" spans="1:22" x14ac:dyDescent="0.15">
      <c r="A71" s="30">
        <v>176</v>
      </c>
      <c r="C71" s="39">
        <v>150</v>
      </c>
      <c r="D71" s="37">
        <v>1</v>
      </c>
      <c r="E71" s="38"/>
      <c r="F71" s="38"/>
      <c r="G71" s="39">
        <f t="shared" ref="G71:G82" si="2">G70+5</f>
        <v>147.5</v>
      </c>
      <c r="H71" s="40">
        <f>1/100</f>
        <v>0.01</v>
      </c>
      <c r="Q71" s="52"/>
    </row>
    <row r="72" spans="1:22" x14ac:dyDescent="0.15">
      <c r="A72" s="30">
        <v>177</v>
      </c>
      <c r="C72" s="39">
        <v>155</v>
      </c>
      <c r="D72" s="37">
        <v>1</v>
      </c>
      <c r="E72" s="38"/>
      <c r="F72" s="38"/>
      <c r="G72" s="39">
        <f t="shared" si="2"/>
        <v>152.5</v>
      </c>
      <c r="H72" s="40">
        <v>0.02</v>
      </c>
      <c r="Q72" s="52"/>
    </row>
    <row r="73" spans="1:22" x14ac:dyDescent="0.15">
      <c r="A73" s="30">
        <v>177</v>
      </c>
      <c r="C73" s="39">
        <v>160</v>
      </c>
      <c r="D73" s="37">
        <v>6</v>
      </c>
      <c r="E73" s="38"/>
      <c r="F73" s="38"/>
      <c r="G73" s="39">
        <f t="shared" si="2"/>
        <v>157.5</v>
      </c>
      <c r="H73" s="40">
        <v>0.03</v>
      </c>
      <c r="Q73" s="21" t="s">
        <v>124</v>
      </c>
      <c r="T73" s="63">
        <f>_xlfn.QUARTILE.INC(A11:A110,1)</f>
        <v>169</v>
      </c>
    </row>
    <row r="74" spans="1:22" x14ac:dyDescent="0.15">
      <c r="A74" s="30">
        <v>177</v>
      </c>
      <c r="C74" s="39">
        <v>165</v>
      </c>
      <c r="D74" s="37">
        <v>12</v>
      </c>
      <c r="E74" s="38"/>
      <c r="F74" s="38"/>
      <c r="G74" s="39">
        <f t="shared" si="2"/>
        <v>162.5</v>
      </c>
      <c r="H74" s="40">
        <v>0.09</v>
      </c>
      <c r="T74" s="63">
        <f>_xlfn.QUARTILE.INC(A11:A110,2)</f>
        <v>175</v>
      </c>
    </row>
    <row r="75" spans="1:22" x14ac:dyDescent="0.15">
      <c r="A75" s="30">
        <v>178</v>
      </c>
      <c r="C75" s="39">
        <v>170</v>
      </c>
      <c r="D75" s="37">
        <v>17</v>
      </c>
      <c r="E75" s="38"/>
      <c r="F75" s="38"/>
      <c r="G75" s="39">
        <f t="shared" si="2"/>
        <v>167.5</v>
      </c>
      <c r="H75" s="40">
        <v>0.21</v>
      </c>
      <c r="T75" s="63">
        <f>_xlfn.QUARTILE.INC(A11:A110,3)</f>
        <v>181</v>
      </c>
    </row>
    <row r="76" spans="1:22" x14ac:dyDescent="0.15">
      <c r="A76" s="30">
        <v>178</v>
      </c>
      <c r="C76" s="39">
        <v>175</v>
      </c>
      <c r="D76" s="37">
        <v>26</v>
      </c>
      <c r="E76" s="38"/>
      <c r="F76" s="38"/>
      <c r="G76" s="39">
        <f t="shared" si="2"/>
        <v>172.5</v>
      </c>
      <c r="H76" s="40">
        <v>0.38</v>
      </c>
    </row>
    <row r="77" spans="1:22" x14ac:dyDescent="0.15">
      <c r="A77" s="30">
        <v>179</v>
      </c>
      <c r="C77" s="39">
        <v>180</v>
      </c>
      <c r="D77" s="37">
        <v>17</v>
      </c>
      <c r="E77" s="38"/>
      <c r="F77" s="38"/>
      <c r="G77" s="39">
        <f t="shared" si="2"/>
        <v>177.5</v>
      </c>
      <c r="H77" s="40">
        <v>0.64</v>
      </c>
      <c r="Q77" s="21" t="s">
        <v>165</v>
      </c>
      <c r="T77" s="21">
        <f>T75-T73</f>
        <v>12</v>
      </c>
    </row>
    <row r="78" spans="1:22" x14ac:dyDescent="0.15">
      <c r="A78" s="30">
        <v>179</v>
      </c>
      <c r="C78" s="39">
        <v>185</v>
      </c>
      <c r="D78" s="37">
        <v>6</v>
      </c>
      <c r="E78" s="38"/>
      <c r="F78" s="38"/>
      <c r="G78" s="39">
        <f t="shared" si="2"/>
        <v>182.5</v>
      </c>
      <c r="H78" s="40">
        <v>0.81</v>
      </c>
    </row>
    <row r="79" spans="1:22" x14ac:dyDescent="0.15">
      <c r="A79" s="30">
        <v>179</v>
      </c>
      <c r="C79" s="39">
        <v>190</v>
      </c>
      <c r="D79" s="37">
        <v>8</v>
      </c>
      <c r="E79" s="38"/>
      <c r="F79" s="38"/>
      <c r="G79" s="39">
        <f t="shared" si="2"/>
        <v>187.5</v>
      </c>
      <c r="H79" s="40">
        <v>0.87</v>
      </c>
      <c r="Q79" s="22" t="s">
        <v>166</v>
      </c>
      <c r="T79" s="21">
        <f>T73-1.5*T77</f>
        <v>151</v>
      </c>
      <c r="V79" s="22" t="s">
        <v>167</v>
      </c>
    </row>
    <row r="80" spans="1:22" x14ac:dyDescent="0.15">
      <c r="A80" s="30">
        <v>179</v>
      </c>
      <c r="C80" s="39">
        <v>195</v>
      </c>
      <c r="D80" s="37">
        <v>4</v>
      </c>
      <c r="E80" s="38"/>
      <c r="F80" s="38"/>
      <c r="G80" s="39">
        <f t="shared" si="2"/>
        <v>192.5</v>
      </c>
      <c r="H80" s="40">
        <v>0.95</v>
      </c>
      <c r="T80" s="21">
        <f>T75+1.5*T77</f>
        <v>199</v>
      </c>
      <c r="V80" s="22" t="s">
        <v>168</v>
      </c>
    </row>
    <row r="81" spans="1:21" x14ac:dyDescent="0.15">
      <c r="A81" s="30">
        <v>179</v>
      </c>
      <c r="C81" s="43">
        <v>200</v>
      </c>
      <c r="D81" s="64">
        <v>1</v>
      </c>
      <c r="E81" s="38"/>
      <c r="F81" s="38"/>
      <c r="G81" s="39">
        <f t="shared" si="2"/>
        <v>197.5</v>
      </c>
      <c r="H81" s="40">
        <v>0.99</v>
      </c>
    </row>
    <row r="82" spans="1:21" x14ac:dyDescent="0.15">
      <c r="A82" s="30">
        <v>180</v>
      </c>
      <c r="C82" s="62"/>
      <c r="D82" s="38"/>
      <c r="E82" s="38"/>
      <c r="F82" s="38"/>
      <c r="G82" s="43">
        <f t="shared" si="2"/>
        <v>202.5</v>
      </c>
      <c r="H82" s="65">
        <v>1</v>
      </c>
      <c r="Q82" s="22" t="s">
        <v>169</v>
      </c>
      <c r="T82" s="21">
        <v>156</v>
      </c>
      <c r="U82" s="22" t="s">
        <v>170</v>
      </c>
    </row>
    <row r="83" spans="1:21" x14ac:dyDescent="0.15">
      <c r="A83" s="30">
        <v>180</v>
      </c>
      <c r="C83" s="62"/>
      <c r="D83" s="62"/>
      <c r="E83" s="62"/>
      <c r="F83" s="38"/>
      <c r="G83" s="38"/>
      <c r="H83" s="38"/>
      <c r="I83" s="38"/>
      <c r="J83" s="62"/>
      <c r="T83" s="21">
        <v>196</v>
      </c>
      <c r="U83" s="22" t="s">
        <v>171</v>
      </c>
    </row>
    <row r="84" spans="1:21" x14ac:dyDescent="0.15">
      <c r="A84" s="30">
        <v>180</v>
      </c>
      <c r="C84" s="62"/>
      <c r="D84" s="38"/>
      <c r="E84" s="38"/>
      <c r="F84" s="38"/>
      <c r="G84" s="38"/>
      <c r="H84" s="62"/>
      <c r="I84" s="62"/>
      <c r="J84" s="62"/>
    </row>
    <row r="85" spans="1:21" x14ac:dyDescent="0.15">
      <c r="A85" s="30">
        <v>181</v>
      </c>
      <c r="C85" s="62"/>
      <c r="D85" s="62"/>
      <c r="E85" s="62"/>
      <c r="F85" s="38"/>
      <c r="G85" s="38"/>
      <c r="H85" s="38"/>
      <c r="I85" s="38"/>
      <c r="J85" s="62"/>
      <c r="Q85" s="22" t="s">
        <v>172</v>
      </c>
      <c r="T85" s="21">
        <v>149</v>
      </c>
      <c r="U85" s="22" t="s">
        <v>173</v>
      </c>
    </row>
    <row r="86" spans="1:21" x14ac:dyDescent="0.15">
      <c r="A86" s="30">
        <v>181</v>
      </c>
      <c r="C86" s="62"/>
      <c r="D86" s="38"/>
      <c r="E86" s="38"/>
      <c r="F86" s="38"/>
      <c r="G86" s="38"/>
      <c r="H86" s="62"/>
      <c r="I86" s="62"/>
      <c r="J86" s="62"/>
      <c r="T86" s="21">
        <v>144</v>
      </c>
    </row>
    <row r="87" spans="1:21" x14ac:dyDescent="0.15">
      <c r="A87" s="30">
        <v>181</v>
      </c>
      <c r="C87" s="62"/>
      <c r="D87" s="62"/>
      <c r="E87" s="62"/>
      <c r="F87" s="38"/>
      <c r="G87" s="38"/>
      <c r="H87" s="38"/>
      <c r="I87" s="38"/>
      <c r="J87" s="62"/>
      <c r="T87" s="21">
        <v>201</v>
      </c>
      <c r="U87" s="22" t="s">
        <v>174</v>
      </c>
    </row>
    <row r="88" spans="1:21" x14ac:dyDescent="0.15">
      <c r="A88" s="30">
        <v>181</v>
      </c>
      <c r="C88" s="62"/>
      <c r="D88" s="38"/>
      <c r="E88" s="38"/>
      <c r="F88" s="38"/>
      <c r="G88" s="38"/>
      <c r="H88" s="62"/>
      <c r="I88" s="62"/>
      <c r="J88" s="62"/>
    </row>
    <row r="89" spans="1:21" x14ac:dyDescent="0.15">
      <c r="A89" s="30">
        <v>182</v>
      </c>
      <c r="C89" s="62"/>
      <c r="D89" s="62"/>
      <c r="E89" s="62"/>
      <c r="F89" s="38"/>
      <c r="G89" s="38"/>
      <c r="H89" s="38"/>
      <c r="I89" s="38"/>
      <c r="J89" s="62"/>
    </row>
    <row r="90" spans="1:21" x14ac:dyDescent="0.15">
      <c r="A90" s="30">
        <v>182</v>
      </c>
      <c r="C90" s="62"/>
      <c r="D90" s="38"/>
      <c r="E90" s="38"/>
      <c r="F90" s="38"/>
      <c r="G90" s="38"/>
      <c r="H90" s="62"/>
      <c r="I90" s="62"/>
      <c r="J90" s="62"/>
    </row>
    <row r="91" spans="1:21" x14ac:dyDescent="0.15">
      <c r="A91" s="30">
        <v>182</v>
      </c>
      <c r="C91" s="62"/>
      <c r="D91" s="62"/>
      <c r="E91" s="62"/>
      <c r="F91" s="38"/>
      <c r="G91" s="38"/>
      <c r="H91" s="38"/>
      <c r="I91" s="38"/>
      <c r="J91" s="62"/>
    </row>
    <row r="92" spans="1:21" x14ac:dyDescent="0.15">
      <c r="A92" s="30">
        <v>183</v>
      </c>
      <c r="C92" s="62"/>
      <c r="D92" s="38"/>
      <c r="E92" s="38"/>
      <c r="F92" s="38"/>
      <c r="G92" s="38"/>
      <c r="H92" s="62"/>
      <c r="I92" s="62"/>
      <c r="J92" s="62"/>
    </row>
    <row r="93" spans="1:21" x14ac:dyDescent="0.15">
      <c r="A93" s="30">
        <v>184</v>
      </c>
      <c r="C93" s="62"/>
      <c r="D93" s="62"/>
      <c r="E93" s="62"/>
      <c r="F93" s="38"/>
      <c r="G93" s="38"/>
      <c r="H93" s="38"/>
      <c r="I93" s="38"/>
      <c r="J93" s="62"/>
    </row>
    <row r="94" spans="1:21" x14ac:dyDescent="0.15">
      <c r="A94" s="30">
        <v>184</v>
      </c>
      <c r="C94" s="62"/>
      <c r="D94" s="38"/>
      <c r="E94" s="38"/>
      <c r="F94" s="62"/>
      <c r="G94" s="62"/>
      <c r="H94" s="62"/>
      <c r="I94" s="62"/>
      <c r="J94" s="62"/>
    </row>
    <row r="95" spans="1:21" x14ac:dyDescent="0.15">
      <c r="A95" s="30">
        <v>185</v>
      </c>
      <c r="C95" s="62"/>
      <c r="D95" s="62"/>
      <c r="E95" s="62"/>
      <c r="F95" s="62"/>
      <c r="G95" s="62"/>
      <c r="H95" s="62"/>
      <c r="I95" s="62"/>
      <c r="J95" s="62"/>
    </row>
    <row r="96" spans="1:21" x14ac:dyDescent="0.15">
      <c r="A96" s="30">
        <v>187</v>
      </c>
      <c r="C96" s="62"/>
      <c r="D96" s="62"/>
      <c r="E96" s="62"/>
      <c r="F96" s="62"/>
      <c r="G96" s="62"/>
    </row>
    <row r="97" spans="1:14" x14ac:dyDescent="0.15">
      <c r="A97" s="30">
        <v>187</v>
      </c>
      <c r="C97" s="62"/>
      <c r="D97" s="62"/>
      <c r="E97" s="62"/>
      <c r="F97" s="62"/>
      <c r="G97" s="62"/>
    </row>
    <row r="98" spans="1:14" x14ac:dyDescent="0.15">
      <c r="A98" s="30">
        <v>188</v>
      </c>
      <c r="C98" s="62"/>
      <c r="D98" s="62"/>
      <c r="E98" s="62"/>
      <c r="F98" s="62"/>
      <c r="G98" s="62"/>
    </row>
    <row r="99" spans="1:14" x14ac:dyDescent="0.15">
      <c r="A99" s="30">
        <v>188</v>
      </c>
      <c r="C99" s="62"/>
      <c r="D99" s="62"/>
      <c r="E99" s="62"/>
      <c r="F99" s="62"/>
      <c r="G99" s="62"/>
    </row>
    <row r="100" spans="1:14" x14ac:dyDescent="0.15">
      <c r="A100" s="30">
        <v>189</v>
      </c>
    </row>
    <row r="101" spans="1:14" ht="14" thickBot="1" x14ac:dyDescent="0.2">
      <c r="A101" s="30">
        <v>189</v>
      </c>
      <c r="C101" s="49" t="s">
        <v>175</v>
      </c>
    </row>
    <row r="102" spans="1:14" ht="28" x14ac:dyDescent="0.15">
      <c r="A102" s="30">
        <v>190</v>
      </c>
      <c r="C102" s="66" t="s">
        <v>88</v>
      </c>
      <c r="D102" s="66" t="s">
        <v>176</v>
      </c>
      <c r="E102" s="66" t="s">
        <v>177</v>
      </c>
      <c r="G102" s="67"/>
      <c r="H102" s="67"/>
      <c r="I102" s="68"/>
      <c r="J102" s="68"/>
      <c r="K102" s="68"/>
      <c r="L102" s="68"/>
      <c r="M102" s="68"/>
      <c r="N102" s="68"/>
    </row>
    <row r="103" spans="1:14" x14ac:dyDescent="0.15">
      <c r="A103" s="30">
        <v>191</v>
      </c>
      <c r="C103" s="69">
        <v>142.5</v>
      </c>
      <c r="D103" s="52">
        <v>0</v>
      </c>
      <c r="E103" s="70">
        <v>0</v>
      </c>
      <c r="G103" s="69"/>
      <c r="H103" s="52"/>
    </row>
    <row r="104" spans="1:14" x14ac:dyDescent="0.15">
      <c r="A104" s="30">
        <v>191</v>
      </c>
      <c r="C104" s="69">
        <v>147.5</v>
      </c>
      <c r="D104" s="52">
        <v>1</v>
      </c>
      <c r="E104" s="70">
        <v>0.01</v>
      </c>
      <c r="G104" s="69"/>
      <c r="H104" s="52"/>
    </row>
    <row r="105" spans="1:14" x14ac:dyDescent="0.15">
      <c r="A105" s="30">
        <v>192</v>
      </c>
      <c r="C105" s="69">
        <v>152.5</v>
      </c>
      <c r="D105" s="52">
        <v>1</v>
      </c>
      <c r="E105" s="70">
        <v>0.02</v>
      </c>
      <c r="G105" s="69"/>
      <c r="H105" s="52"/>
    </row>
    <row r="106" spans="1:14" x14ac:dyDescent="0.15">
      <c r="A106" s="30">
        <v>193</v>
      </c>
      <c r="C106" s="69">
        <v>157.5</v>
      </c>
      <c r="D106" s="52">
        <v>1</v>
      </c>
      <c r="E106" s="70">
        <v>0.03</v>
      </c>
      <c r="G106" s="69"/>
      <c r="H106" s="52"/>
    </row>
    <row r="107" spans="1:14" x14ac:dyDescent="0.15">
      <c r="A107" s="30">
        <v>194</v>
      </c>
      <c r="C107" s="69">
        <v>162.5</v>
      </c>
      <c r="D107" s="52">
        <v>6</v>
      </c>
      <c r="E107" s="70">
        <v>0.09</v>
      </c>
      <c r="G107" s="69"/>
      <c r="H107" s="52"/>
    </row>
    <row r="108" spans="1:14" x14ac:dyDescent="0.15">
      <c r="A108" s="30">
        <v>196</v>
      </c>
      <c r="C108" s="69">
        <v>167.5</v>
      </c>
      <c r="D108" s="52">
        <v>12</v>
      </c>
      <c r="E108" s="70">
        <v>0.21</v>
      </c>
      <c r="G108" s="69"/>
      <c r="H108" s="52"/>
    </row>
    <row r="109" spans="1:14" x14ac:dyDescent="0.15">
      <c r="A109" s="30">
        <v>196</v>
      </c>
      <c r="C109" s="69">
        <v>172.5</v>
      </c>
      <c r="D109" s="52">
        <v>17</v>
      </c>
      <c r="E109" s="70">
        <v>0.38</v>
      </c>
      <c r="G109" s="69"/>
      <c r="H109" s="52"/>
    </row>
    <row r="110" spans="1:14" x14ac:dyDescent="0.15">
      <c r="A110" s="30">
        <v>201</v>
      </c>
      <c r="C110" s="69">
        <v>177.5</v>
      </c>
      <c r="D110" s="52">
        <v>26</v>
      </c>
      <c r="E110" s="70">
        <v>0.64</v>
      </c>
      <c r="G110" s="69"/>
      <c r="H110" s="52"/>
    </row>
    <row r="111" spans="1:14" x14ac:dyDescent="0.15">
      <c r="C111" s="69">
        <v>182.5</v>
      </c>
      <c r="D111" s="52">
        <v>17</v>
      </c>
      <c r="E111" s="70">
        <v>0.81</v>
      </c>
      <c r="G111" s="69"/>
      <c r="H111" s="52"/>
    </row>
    <row r="112" spans="1:14" x14ac:dyDescent="0.15">
      <c r="C112" s="69">
        <v>187.5</v>
      </c>
      <c r="D112" s="52">
        <v>6</v>
      </c>
      <c r="E112" s="70">
        <v>0.87</v>
      </c>
      <c r="G112" s="69"/>
      <c r="H112" s="52"/>
    </row>
    <row r="113" spans="2:15" x14ac:dyDescent="0.15">
      <c r="C113" s="69">
        <v>192.5</v>
      </c>
      <c r="D113" s="52">
        <v>8</v>
      </c>
      <c r="E113" s="70">
        <v>0.95</v>
      </c>
      <c r="G113" s="69"/>
      <c r="H113" s="52"/>
    </row>
    <row r="114" spans="2:15" x14ac:dyDescent="0.15">
      <c r="C114" s="69">
        <v>197.5</v>
      </c>
      <c r="D114" s="52">
        <v>4</v>
      </c>
      <c r="E114" s="70">
        <v>0.99</v>
      </c>
      <c r="G114" s="69"/>
      <c r="H114" s="52"/>
    </row>
    <row r="115" spans="2:15" x14ac:dyDescent="0.15">
      <c r="C115" s="69">
        <v>202.5</v>
      </c>
      <c r="D115" s="52">
        <v>1</v>
      </c>
      <c r="E115" s="70">
        <v>1</v>
      </c>
      <c r="G115" s="69"/>
      <c r="H115" s="52"/>
    </row>
    <row r="116" spans="2:15" ht="14" thickBot="1" x14ac:dyDescent="0.2">
      <c r="C116" s="71" t="s">
        <v>178</v>
      </c>
      <c r="D116" s="71">
        <v>0</v>
      </c>
      <c r="E116" s="72">
        <v>1</v>
      </c>
      <c r="G116" s="69"/>
      <c r="H116" s="52"/>
    </row>
    <row r="119" spans="2:15" x14ac:dyDescent="0.15">
      <c r="B119" s="73" t="s">
        <v>179</v>
      </c>
    </row>
    <row r="123" spans="2:15" x14ac:dyDescent="0.15">
      <c r="C123" s="49" t="s">
        <v>180</v>
      </c>
    </row>
    <row r="124" spans="2:15" s="68" customFormat="1" x14ac:dyDescent="0.15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45" spans="2:11" ht="30" customHeight="1" x14ac:dyDescent="0.15">
      <c r="B145" s="74" t="s">
        <v>181</v>
      </c>
      <c r="C145" s="74"/>
      <c r="D145" s="74"/>
      <c r="E145" s="74"/>
      <c r="F145" s="74"/>
      <c r="G145" s="74"/>
      <c r="H145" s="74"/>
      <c r="I145" s="74"/>
      <c r="J145" s="74"/>
      <c r="K145" s="74"/>
    </row>
    <row r="169" ht="14" customHeight="1" x14ac:dyDescent="0.15"/>
  </sheetData>
  <mergeCells count="1">
    <mergeCell ref="B145:K145"/>
  </mergeCells>
  <printOptions horizontalCentered="1" verticalCentered="1"/>
  <pageMargins left="0.59" right="0.59" top="0.59" bottom="0.59" header="0.31" footer="0.31"/>
  <pageSetup paperSize="9" scale="75" orientation="landscape"/>
  <headerFooter alignWithMargins="0">
    <oddHeader>&amp;C&amp;"Arial,Gras"&amp;F - &amp;A&amp;R&amp;D</oddHeader>
  </headerFooter>
  <rowBreaks count="3" manualBreakCount="3">
    <brk id="38" max="26" man="1"/>
    <brk id="68" max="16383" man="1"/>
    <brk id="99" max="16383" man="1"/>
  </rowBreaks>
  <colBreaks count="1" manualBreakCount="1">
    <brk id="11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1.1</vt:lpstr>
      <vt:lpstr>1.2</vt:lpstr>
      <vt:lpstr>1.3</vt:lpstr>
      <vt:lpstr>n</vt:lpstr>
      <vt:lpstr>'1.1'!Zone_d_impression</vt:lpstr>
      <vt:lpstr>'1.2'!Zone_d_impression</vt:lpstr>
      <vt:lpstr>'1.3'!Zone_d_impression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2021-01-18T08:26:21Z</dcterms:created>
  <dcterms:modified xsi:type="dcterms:W3CDTF">2021-01-18T08:28:52Z</dcterms:modified>
</cp:coreProperties>
</file>