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liette\Documents\_PolytechNancy\Cours\2i\3A\Statistiques\TDs\"/>
    </mc:Choice>
  </mc:AlternateContent>
  <xr:revisionPtr revIDLastSave="0" documentId="13_ncr:1_{64E98865-5437-40E2-B4B9-96469C9A8585}" xr6:coauthVersionLast="46" xr6:coauthVersionMax="46" xr10:uidLastSave="{00000000-0000-0000-0000-000000000000}"/>
  <bookViews>
    <workbookView xWindow="-108" yWindow="-108" windowWidth="23256" windowHeight="12576" activeTab="2" xr2:uid="{05BD7D3F-C3F2-4192-AA3D-C13405B56EFC}"/>
  </bookViews>
  <sheets>
    <sheet name="Ex1" sheetId="1" r:id="rId1"/>
    <sheet name="Ex2" sheetId="2" r:id="rId2"/>
    <sheet name="Ex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3" l="1"/>
  <c r="G20" i="3"/>
  <c r="G31" i="3"/>
  <c r="G32" i="3"/>
  <c r="G8" i="3"/>
  <c r="G7" i="3"/>
  <c r="C30" i="3"/>
  <c r="C31" i="3" s="1"/>
  <c r="C32" i="3" s="1"/>
  <c r="C18" i="3"/>
  <c r="C19" i="3" s="1"/>
  <c r="C20" i="3" s="1"/>
  <c r="C6" i="3"/>
  <c r="C7" i="3" s="1"/>
  <c r="C8" i="3" s="1"/>
  <c r="I24" i="2"/>
  <c r="I15" i="2"/>
  <c r="I13" i="2"/>
  <c r="I8" i="2"/>
  <c r="I9" i="2" s="1"/>
  <c r="K25" i="1"/>
  <c r="L25" i="1"/>
  <c r="K22" i="1"/>
  <c r="I23" i="2"/>
  <c r="K18" i="1"/>
  <c r="K19" i="1" s="1"/>
  <c r="K15" i="1"/>
  <c r="K14" i="1"/>
  <c r="K13" i="1"/>
  <c r="K9" i="1"/>
  <c r="K5" i="1" s="1"/>
  <c r="I31" i="2"/>
  <c r="I14" i="2"/>
  <c r="I6" i="2"/>
  <c r="L24" i="1"/>
  <c r="K24" i="1"/>
  <c r="N8" i="1"/>
  <c r="K23" i="1"/>
  <c r="K21" i="1"/>
  <c r="K6" i="1"/>
  <c r="K2" i="1"/>
  <c r="C11" i="3" l="1"/>
  <c r="C10" i="3"/>
  <c r="C35" i="3"/>
  <c r="C34" i="3"/>
  <c r="C23" i="3"/>
  <c r="C22" i="3"/>
  <c r="J15" i="2"/>
  <c r="I32" i="2"/>
  <c r="I25" i="2"/>
  <c r="I27" i="2" s="1"/>
  <c r="I28" i="2" s="1"/>
  <c r="L5" i="1"/>
</calcChain>
</file>

<file path=xl/sharedStrings.xml><?xml version="1.0" encoding="utf-8"?>
<sst xmlns="http://schemas.openxmlformats.org/spreadsheetml/2006/main" count="116" uniqueCount="85">
  <si>
    <t>net/brut de berline</t>
  </si>
  <si>
    <t>nature</t>
  </si>
  <si>
    <t>quantitatif continu</t>
  </si>
  <si>
    <t>individu</t>
  </si>
  <si>
    <t>une berline</t>
  </si>
  <si>
    <t>echantillon</t>
  </si>
  <si>
    <t>20 berlines</t>
  </si>
  <si>
    <t>population</t>
  </si>
  <si>
    <t>toutes les berlines</t>
  </si>
  <si>
    <t xml:space="preserve">caractère </t>
  </si>
  <si>
    <t xml:space="preserve">moyenne approché de la population : </t>
  </si>
  <si>
    <t>intervalle de confiance à 95% pour la moyenne :</t>
  </si>
  <si>
    <t>s* =</t>
  </si>
  <si>
    <t>alpha =</t>
  </si>
  <si>
    <t>(car on cherche à 95%)</t>
  </si>
  <si>
    <t>t =</t>
  </si>
  <si>
    <t>(Lecture tab)</t>
  </si>
  <si>
    <t>marge d'erreur :</t>
  </si>
  <si>
    <t>Q1 :</t>
  </si>
  <si>
    <t>Q2 :</t>
  </si>
  <si>
    <t>(formule dans le cours)</t>
  </si>
  <si>
    <t>hypothèse : X suit une loi normale</t>
  </si>
  <si>
    <t>(pas loi normale et pas d'info sur ecart type dans énoncé, donc : normal avec echantillon &lt;30, 3ème cas)</t>
  </si>
  <si>
    <t>Analyse de départ :</t>
  </si>
  <si>
    <t xml:space="preserve">s*² = </t>
  </si>
  <si>
    <t>s*² = n/(n-1) . s²</t>
  </si>
  <si>
    <t>s²</t>
  </si>
  <si>
    <t>Q4 :</t>
  </si>
  <si>
    <t>variance</t>
  </si>
  <si>
    <t xml:space="preserve">On peut aussi le trouver sans table : </t>
  </si>
  <si>
    <t>Avec lois du Khideux (estimation par intervalle)</t>
  </si>
  <si>
    <t>n =</t>
  </si>
  <si>
    <t>0,05 car 95% et 15 car n-1</t>
  </si>
  <si>
    <t xml:space="preserve">intervalle de confiance à 95% de la moyenne de la population (mu) : </t>
  </si>
  <si>
    <t>t.s* / sqrt(n) = (28-24)/2</t>
  </si>
  <si>
    <t>s*² =</t>
  </si>
  <si>
    <t>appelée marge d'erreur k</t>
  </si>
  <si>
    <t>On deduis de l'intervalle de confience sur la moyenne, l'intervalle de confiance sur la variance</t>
  </si>
  <si>
    <t>Donc sigma^² = s*²</t>
  </si>
  <si>
    <t>On utilise pas la somme des Xi mais la page 28 cas n&lt;30 :</t>
  </si>
  <si>
    <t>Q2</t>
  </si>
  <si>
    <t>car 90%</t>
  </si>
  <si>
    <t>X(1-alpha/ 2)</t>
  </si>
  <si>
    <t>X(alpha/2)</t>
  </si>
  <si>
    <t>sigma² compris entre</t>
  </si>
  <si>
    <t>Q3</t>
  </si>
  <si>
    <t>k = 10% de moyenne (26 ici)</t>
  </si>
  <si>
    <t>aussi égal à t.s*/sqrt(n)</t>
  </si>
  <si>
    <t>on ne peut pas utiliser car trop d'inconnues.</t>
  </si>
  <si>
    <t>On utilise la remarque de fin de page 28 et on utilise</t>
  </si>
  <si>
    <t xml:space="preserve">u = </t>
  </si>
  <si>
    <t>alpha</t>
  </si>
  <si>
    <t>u.s* / sqrt(n) = k</t>
  </si>
  <si>
    <t>n=</t>
  </si>
  <si>
    <t>sqrt(n)</t>
  </si>
  <si>
    <t>on devais avoir n&gt;30… Donc on repart avec la première formule</t>
  </si>
  <si>
    <t xml:space="preserve">k = </t>
  </si>
  <si>
    <t>k trop haut, il faut augmenter n, on y va à taton avec n=18 :</t>
  </si>
  <si>
    <t xml:space="preserve">n = </t>
  </si>
  <si>
    <t>Donc : n=18 !</t>
  </si>
  <si>
    <t>f = p^</t>
  </si>
  <si>
    <t>estimation ponctuelle</t>
  </si>
  <si>
    <t>n</t>
  </si>
  <si>
    <t>marge d'erreur  k =</t>
  </si>
  <si>
    <t>(énnoncé)</t>
  </si>
  <si>
    <t xml:space="preserve">sigma^² = </t>
  </si>
  <si>
    <t>Donc n =</t>
  </si>
  <si>
    <t>u =</t>
  </si>
  <si>
    <t>Soit n =</t>
  </si>
  <si>
    <t>&gt;30 donc ok !</t>
  </si>
  <si>
    <t>Verrification :</t>
  </si>
  <si>
    <t xml:space="preserve">t = </t>
  </si>
  <si>
    <t>k (on doit retrouver 0,03) =</t>
  </si>
  <si>
    <t>super !</t>
  </si>
  <si>
    <t xml:space="preserve">sigma² = </t>
  </si>
  <si>
    <t>p</t>
  </si>
  <si>
    <t>u</t>
  </si>
  <si>
    <t>k</t>
  </si>
  <si>
    <t>p^sup</t>
  </si>
  <si>
    <t>p^inf</t>
  </si>
  <si>
    <t>n = 100      alpha = 0,05</t>
  </si>
  <si>
    <t>n = 1000       alpha = 0,05</t>
  </si>
  <si>
    <t>n = 1000   alpha = 0,01</t>
  </si>
  <si>
    <t>nf</t>
  </si>
  <si>
    <t>n(1-f)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</si>
</sst>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00"/>
    <numFmt numFmtId="167" formatCode="0.000"/>
    <numFmt numFmtId="168" formatCode="0.0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7"/>
      <color theme="1"/>
      <name val="Inherit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165" fontId="0" fillId="0" borderId="0" xfId="0" applyNumberFormat="1" applyAlignment="1">
      <alignment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2" fontId="2" fillId="2" borderId="2" xfId="1" applyNumberFormat="1" applyFont="1" applyFill="1" applyBorder="1" applyAlignment="1">
      <alignment horizontal="center" vertical="center" wrapText="1"/>
    </xf>
    <xf numFmtId="2" fontId="2" fillId="2" borderId="3" xfId="1" applyNumberFormat="1" applyFont="1" applyFill="1" applyBorder="1" applyAlignment="1">
      <alignment horizontal="center" vertical="center" wrapText="1"/>
    </xf>
    <xf numFmtId="2" fontId="2" fillId="2" borderId="4" xfId="1" applyNumberFormat="1" applyFont="1" applyFill="1" applyBorder="1" applyAlignment="1">
      <alignment horizontal="center" vertical="center" wrapText="1"/>
    </xf>
    <xf numFmtId="2" fontId="2" fillId="2" borderId="5" xfId="1" applyNumberFormat="1" applyFont="1" applyFill="1" applyBorder="1" applyAlignment="1">
      <alignment horizontal="center" vertical="center" wrapText="1"/>
    </xf>
    <xf numFmtId="2" fontId="2" fillId="2" borderId="6" xfId="1" applyNumberFormat="1" applyFont="1" applyFill="1" applyBorder="1" applyAlignment="1">
      <alignment horizontal="center" vertical="center" wrapText="1"/>
    </xf>
    <xf numFmtId="2" fontId="2" fillId="2" borderId="7" xfId="1" applyNumberFormat="1" applyFont="1" applyFill="1" applyBorder="1" applyAlignment="1">
      <alignment horizontal="center" vertical="center" wrapText="1"/>
    </xf>
    <xf numFmtId="2" fontId="2" fillId="2" borderId="8" xfId="1" applyNumberFormat="1" applyFont="1" applyFill="1" applyBorder="1" applyAlignment="1">
      <alignment horizontal="center" vertical="center" wrapText="1"/>
    </xf>
    <xf numFmtId="2" fontId="2" fillId="2" borderId="9" xfId="1" applyNumberFormat="1" applyFont="1" applyFill="1" applyBorder="1" applyAlignment="1">
      <alignment horizontal="center" vertical="center" wrapText="1"/>
    </xf>
    <xf numFmtId="166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Font="1"/>
    <xf numFmtId="0" fontId="3" fillId="0" borderId="0" xfId="0" applyFont="1" applyAlignment="1">
      <alignment horizontal="left" vertical="center" indent="6"/>
    </xf>
    <xf numFmtId="164" fontId="0" fillId="0" borderId="0" xfId="0" applyNumberFormat="1" applyFont="1"/>
    <xf numFmtId="164" fontId="0" fillId="0" borderId="0" xfId="0" applyNumberFormat="1" applyFont="1" applyAlignment="1">
      <alignment horizontal="left" vertical="center" indent="6"/>
    </xf>
    <xf numFmtId="167" fontId="0" fillId="0" borderId="0" xfId="0" applyNumberFormat="1"/>
    <xf numFmtId="2" fontId="0" fillId="0" borderId="0" xfId="0" applyNumberFormat="1"/>
    <xf numFmtId="0" fontId="0" fillId="3" borderId="0" xfId="0" applyFill="1"/>
    <xf numFmtId="168" fontId="0" fillId="0" borderId="0" xfId="0" applyNumberFormat="1"/>
    <xf numFmtId="0" fontId="0" fillId="0" borderId="0" xfId="0" applyFill="1"/>
    <xf numFmtId="166" fontId="0" fillId="0" borderId="0" xfId="0" applyNumberFormat="1"/>
    <xf numFmtId="16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 wrapText="1"/>
    </xf>
    <xf numFmtId="0" fontId="0" fillId="0" borderId="0" xfId="0" applyBorder="1"/>
    <xf numFmtId="0" fontId="0" fillId="0" borderId="14" xfId="0" applyBorder="1"/>
    <xf numFmtId="2" fontId="0" fillId="0" borderId="0" xfId="0" applyNumberFormat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164" fontId="0" fillId="0" borderId="0" xfId="0" applyNumberFormat="1" applyBorder="1"/>
    <xf numFmtId="164" fontId="0" fillId="0" borderId="16" xfId="0" applyNumberFormat="1" applyBorder="1"/>
    <xf numFmtId="1" fontId="0" fillId="0" borderId="0" xfId="0" applyNumberFormat="1" applyBorder="1"/>
    <xf numFmtId="2" fontId="0" fillId="0" borderId="11" xfId="0" applyNumberFormat="1" applyBorder="1"/>
  </cellXfs>
  <cellStyles count="2">
    <cellStyle name="Normal" xfId="0" builtinId="0"/>
    <cellStyle name="Normal 2" xfId="1" xr:uid="{3A270085-992A-4E63-8784-AD74A257F7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9392-81C8-484E-8679-40926D5C4D0D}">
  <dimension ref="A1:N25"/>
  <sheetViews>
    <sheetView zoomScale="85" zoomScaleNormal="85" workbookViewId="0">
      <selection activeCell="F18" sqref="F18"/>
    </sheetView>
  </sheetViews>
  <sheetFormatPr baseColWidth="10" defaultRowHeight="14.4"/>
  <cols>
    <col min="4" max="4" width="22.109375" bestFit="1" customWidth="1"/>
    <col min="7" max="7" width="10" bestFit="1" customWidth="1"/>
    <col min="8" max="8" width="16.33203125" bestFit="1" customWidth="1"/>
    <col min="10" max="10" width="42.21875" style="1" bestFit="1" customWidth="1"/>
    <col min="11" max="11" width="15.5546875" bestFit="1" customWidth="1"/>
    <col min="12" max="12" width="20.6640625" bestFit="1" customWidth="1"/>
    <col min="13" max="13" width="32.5546875" bestFit="1" customWidth="1"/>
  </cols>
  <sheetData>
    <row r="1" spans="1:14">
      <c r="A1" s="9">
        <v>0.6</v>
      </c>
      <c r="B1" s="10">
        <v>0.71</v>
      </c>
      <c r="C1" s="10">
        <v>0.63</v>
      </c>
      <c r="D1" s="10">
        <v>0.71</v>
      </c>
      <c r="E1" s="11">
        <v>0.56000000000000005</v>
      </c>
      <c r="F1" s="2"/>
      <c r="G1" s="6" t="s">
        <v>23</v>
      </c>
      <c r="H1" s="6"/>
      <c r="I1" s="2"/>
      <c r="J1" s="5" t="s">
        <v>18</v>
      </c>
      <c r="K1" s="2"/>
      <c r="L1" s="2"/>
      <c r="M1" s="2"/>
    </row>
    <row r="2" spans="1:14">
      <c r="A2" s="12">
        <v>0.71</v>
      </c>
      <c r="B2" s="8">
        <v>0.46</v>
      </c>
      <c r="C2" s="8">
        <v>0.45</v>
      </c>
      <c r="D2" s="8">
        <v>0.55000000000000004</v>
      </c>
      <c r="E2" s="13">
        <v>0.75</v>
      </c>
      <c r="F2" s="2"/>
      <c r="G2" s="2" t="s">
        <v>9</v>
      </c>
      <c r="H2" s="2" t="s">
        <v>0</v>
      </c>
      <c r="I2" s="2"/>
      <c r="J2" s="3" t="s">
        <v>10</v>
      </c>
      <c r="K2" s="4">
        <f>AVERAGE(A1:E4)</f>
        <v>0.63749999999999996</v>
      </c>
      <c r="L2" s="2"/>
      <c r="M2" s="2"/>
    </row>
    <row r="3" spans="1:14">
      <c r="A3" s="12">
        <v>0.57999999999999996</v>
      </c>
      <c r="B3" s="8">
        <v>0.79</v>
      </c>
      <c r="C3" s="8">
        <v>0.79</v>
      </c>
      <c r="D3" s="8">
        <v>0.74</v>
      </c>
      <c r="E3" s="13">
        <v>0.62</v>
      </c>
      <c r="F3" s="2"/>
      <c r="G3" s="2" t="s">
        <v>1</v>
      </c>
      <c r="H3" s="2" t="s">
        <v>2</v>
      </c>
      <c r="I3" s="2"/>
      <c r="J3" s="5" t="s">
        <v>19</v>
      </c>
      <c r="K3" s="2"/>
      <c r="L3" s="2"/>
      <c r="M3" s="2"/>
    </row>
    <row r="4" spans="1:14" ht="29.4" customHeight="1" thickBot="1">
      <c r="A4" s="14">
        <v>0.56999999999999995</v>
      </c>
      <c r="B4" s="15">
        <v>0.63</v>
      </c>
      <c r="C4" s="15">
        <v>0.68</v>
      </c>
      <c r="D4" s="15">
        <v>0.64</v>
      </c>
      <c r="E4" s="16">
        <v>0.57999999999999996</v>
      </c>
      <c r="F4" s="2"/>
      <c r="G4" s="2" t="s">
        <v>3</v>
      </c>
      <c r="H4" s="2" t="s">
        <v>4</v>
      </c>
      <c r="I4" s="2"/>
      <c r="J4" s="31" t="s">
        <v>22</v>
      </c>
      <c r="K4" s="31"/>
      <c r="L4" s="31"/>
      <c r="M4" s="2"/>
    </row>
    <row r="5" spans="1:14">
      <c r="B5" s="2"/>
      <c r="C5" s="2"/>
      <c r="D5" s="2"/>
      <c r="E5" s="2"/>
      <c r="F5" s="2"/>
      <c r="G5" s="2" t="s">
        <v>5</v>
      </c>
      <c r="H5" s="2" t="s">
        <v>6</v>
      </c>
      <c r="I5" s="2"/>
      <c r="J5" s="3" t="s">
        <v>11</v>
      </c>
      <c r="K5" s="18">
        <f>K2-K9</f>
        <v>0.59187464655724509</v>
      </c>
      <c r="L5" s="18">
        <f>K2+K9</f>
        <v>0.68312535344275482</v>
      </c>
      <c r="M5" s="2"/>
    </row>
    <row r="6" spans="1:14">
      <c r="B6" s="2"/>
      <c r="C6" s="2"/>
      <c r="D6" s="2"/>
      <c r="E6" s="2"/>
      <c r="F6" s="2"/>
      <c r="G6" s="2" t="s">
        <v>7</v>
      </c>
      <c r="H6" s="2" t="s">
        <v>8</v>
      </c>
      <c r="I6" s="2"/>
      <c r="J6" s="3" t="s">
        <v>12</v>
      </c>
      <c r="K6" s="17">
        <f>_xlfn.STDEV.S(A1:E4)</f>
        <v>9.7488190917777398E-2</v>
      </c>
      <c r="L6" s="2"/>
      <c r="M6" s="2"/>
    </row>
    <row r="7" spans="1:14">
      <c r="B7" s="2"/>
      <c r="C7" s="2"/>
      <c r="D7" s="2"/>
      <c r="E7" s="2"/>
      <c r="F7" s="2"/>
      <c r="G7" s="2"/>
      <c r="H7" s="2"/>
      <c r="I7" s="2"/>
      <c r="J7" s="3" t="s">
        <v>13</v>
      </c>
      <c r="K7" s="2">
        <v>0.05</v>
      </c>
      <c r="L7" s="2" t="s">
        <v>14</v>
      </c>
      <c r="M7" s="2"/>
    </row>
    <row r="8" spans="1:14">
      <c r="B8" s="2"/>
      <c r="C8" s="2"/>
      <c r="D8" s="2"/>
      <c r="E8" s="2"/>
      <c r="F8" s="2"/>
      <c r="G8" s="2"/>
      <c r="H8" s="2"/>
      <c r="I8" s="2"/>
      <c r="J8" s="3" t="s">
        <v>15</v>
      </c>
      <c r="K8" s="4">
        <v>2.093</v>
      </c>
      <c r="L8" s="2" t="s">
        <v>16</v>
      </c>
      <c r="M8" s="2" t="s">
        <v>29</v>
      </c>
      <c r="N8" s="19">
        <f>_xlfn.T.INV.2T(0.05,19)</f>
        <v>2.0930240544083096</v>
      </c>
    </row>
    <row r="9" spans="1:14">
      <c r="B9" s="2"/>
      <c r="C9" s="2"/>
      <c r="D9" s="2"/>
      <c r="E9" s="2"/>
      <c r="F9" s="2"/>
      <c r="G9" s="2"/>
      <c r="H9" s="2"/>
      <c r="I9" s="2"/>
      <c r="J9" s="3" t="s">
        <v>17</v>
      </c>
      <c r="K9" s="17">
        <f>K8*K6/SQRT(20)</f>
        <v>4.562535344275491E-2</v>
      </c>
      <c r="L9" s="2" t="s">
        <v>20</v>
      </c>
      <c r="M9" s="2"/>
    </row>
    <row r="10" spans="1:14">
      <c r="B10" s="2"/>
      <c r="C10" s="2"/>
      <c r="D10" s="2"/>
      <c r="E10" s="2"/>
      <c r="F10" s="2"/>
      <c r="G10" s="2"/>
      <c r="H10" s="2"/>
      <c r="I10" s="2"/>
      <c r="J10" s="3" t="s">
        <v>21</v>
      </c>
      <c r="K10" s="2"/>
      <c r="L10" s="2"/>
      <c r="M10" s="2"/>
    </row>
    <row r="11" spans="1:14">
      <c r="B11" s="2"/>
      <c r="D11" s="2"/>
      <c r="E11" s="2"/>
      <c r="F11" s="2"/>
      <c r="G11" s="2"/>
      <c r="H11" s="2"/>
      <c r="I11" s="2"/>
      <c r="J11" s="30" t="s">
        <v>45</v>
      </c>
      <c r="M11" s="2"/>
    </row>
    <row r="12" spans="1:14">
      <c r="B12" s="2"/>
      <c r="C12" s="2"/>
      <c r="D12" s="2"/>
      <c r="E12" s="2"/>
      <c r="F12" s="2"/>
      <c r="G12" s="2"/>
      <c r="H12" s="2"/>
      <c r="I12" s="2"/>
      <c r="J12" s="1" t="s">
        <v>63</v>
      </c>
      <c r="K12">
        <v>0.03</v>
      </c>
      <c r="L12" t="s">
        <v>64</v>
      </c>
      <c r="M12" s="2"/>
    </row>
    <row r="13" spans="1:14">
      <c r="B13" s="2"/>
      <c r="C13" s="2"/>
      <c r="D13" s="2"/>
      <c r="E13" s="2"/>
      <c r="F13" s="2"/>
      <c r="G13" s="2"/>
      <c r="H13" s="2"/>
      <c r="I13" s="2"/>
      <c r="J13" s="1" t="s">
        <v>65</v>
      </c>
      <c r="K13" s="28">
        <f>K6*K6</f>
        <v>9.5039473684210164E-3</v>
      </c>
      <c r="M13" s="2"/>
    </row>
    <row r="14" spans="1:14">
      <c r="B14" s="2"/>
      <c r="C14" s="2"/>
      <c r="D14" s="2"/>
      <c r="E14" s="2"/>
      <c r="F14" s="2"/>
      <c r="G14" s="2"/>
      <c r="H14" s="2"/>
      <c r="I14" s="2"/>
      <c r="J14" s="1" t="s">
        <v>67</v>
      </c>
      <c r="K14" s="28">
        <f>_xlfn.NORM.S.INV(0.975)</f>
        <v>1.9599639845400536</v>
      </c>
      <c r="M14" s="2"/>
    </row>
    <row r="15" spans="1:14">
      <c r="J15" s="1" t="s">
        <v>66</v>
      </c>
      <c r="K15" s="24">
        <f>K14*K14*K13/(K12*K12)</f>
        <v>40.565580499815134</v>
      </c>
    </row>
    <row r="16" spans="1:14">
      <c r="J16" s="1" t="s">
        <v>68</v>
      </c>
      <c r="K16">
        <v>41</v>
      </c>
      <c r="L16" t="s">
        <v>69</v>
      </c>
    </row>
    <row r="17" spans="4:12">
      <c r="J17" s="1" t="s">
        <v>70</v>
      </c>
    </row>
    <row r="18" spans="4:12">
      <c r="D18" s="20"/>
      <c r="J18" s="1" t="s">
        <v>71</v>
      </c>
      <c r="K18" s="23">
        <f>_xlfn.T.INV.2T(0.05,K16-1)</f>
        <v>2.0210753903062737</v>
      </c>
    </row>
    <row r="19" spans="4:12">
      <c r="J19" s="1" t="s">
        <v>72</v>
      </c>
      <c r="K19" s="29">
        <f>K18*0.0975/SQRT(K16)</f>
        <v>3.0774797309549823E-2</v>
      </c>
      <c r="L19" t="s">
        <v>73</v>
      </c>
    </row>
    <row r="20" spans="4:12">
      <c r="J20" s="5" t="s">
        <v>27</v>
      </c>
      <c r="K20" s="2"/>
      <c r="L20" s="2"/>
    </row>
    <row r="21" spans="4:12">
      <c r="J21" s="3" t="s">
        <v>24</v>
      </c>
      <c r="K21" s="7">
        <f>_xlfn.VAR.S(A1:E4)</f>
        <v>9.5039473684210146E-3</v>
      </c>
      <c r="L21" s="2"/>
    </row>
    <row r="22" spans="4:12">
      <c r="J22" s="3" t="s">
        <v>25</v>
      </c>
      <c r="K22" s="7">
        <f>20/19 * K23</f>
        <v>9.5039473684210684E-3</v>
      </c>
      <c r="L22" s="2"/>
    </row>
    <row r="23" spans="4:12">
      <c r="J23" s="3" t="s">
        <v>26</v>
      </c>
      <c r="K23" s="7">
        <f>_xlfn.VAR.P(A1:E4)</f>
        <v>9.0287500000000159E-3</v>
      </c>
      <c r="L23" s="2" t="s">
        <v>28</v>
      </c>
    </row>
    <row r="24" spans="4:12">
      <c r="J24" s="1" t="s">
        <v>30</v>
      </c>
      <c r="K24" s="21">
        <f>_xlfn.CHISQ.INV(0.025,19)</f>
        <v>8.906516481987973</v>
      </c>
      <c r="L24" s="22">
        <f>_xlfn.CHISQ.INV(0.975,19)</f>
        <v>32.852326861729722</v>
      </c>
    </row>
    <row r="25" spans="4:12">
      <c r="J25" s="1" t="s">
        <v>74</v>
      </c>
      <c r="K25">
        <f>(20-1)*K22/L24</f>
        <v>5.4965665220613469E-3</v>
      </c>
      <c r="L25">
        <f>(20-1)*K22/K24</f>
        <v>2.0274481090916386E-2</v>
      </c>
    </row>
  </sheetData>
  <mergeCells count="1">
    <mergeCell ref="J4:L4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825C-FE92-4FFC-9A69-90E92754B0BD}">
  <dimension ref="A1:J33"/>
  <sheetViews>
    <sheetView zoomScaleNormal="100" workbookViewId="0">
      <selection activeCell="I34" sqref="I34"/>
    </sheetView>
  </sheetViews>
  <sheetFormatPr baseColWidth="10" defaultRowHeight="14.4"/>
  <cols>
    <col min="1" max="1" width="29" customWidth="1"/>
    <col min="2" max="3" width="3" bestFit="1" customWidth="1"/>
    <col min="8" max="8" width="24.33203125" customWidth="1"/>
    <col min="10" max="10" width="22.21875" bestFit="1" customWidth="1"/>
  </cols>
  <sheetData>
    <row r="1" spans="1:10">
      <c r="A1" t="s">
        <v>31</v>
      </c>
      <c r="B1">
        <v>16</v>
      </c>
    </row>
    <row r="2" spans="1:10" ht="43.2">
      <c r="A2" s="1" t="s">
        <v>33</v>
      </c>
      <c r="B2">
        <v>24</v>
      </c>
      <c r="C2">
        <v>28</v>
      </c>
    </row>
    <row r="3" spans="1:10">
      <c r="H3" s="25" t="s">
        <v>18</v>
      </c>
      <c r="I3" t="s">
        <v>37</v>
      </c>
    </row>
    <row r="4" spans="1:10">
      <c r="H4" t="s">
        <v>38</v>
      </c>
    </row>
    <row r="5" spans="1:10">
      <c r="H5" t="s">
        <v>39</v>
      </c>
    </row>
    <row r="6" spans="1:10">
      <c r="H6" t="s">
        <v>15</v>
      </c>
      <c r="I6">
        <f>_xlfn.T.INV.2T(0.05,15)</f>
        <v>2.1314495455597742</v>
      </c>
      <c r="J6" t="s">
        <v>32</v>
      </c>
    </row>
    <row r="7" spans="1:10">
      <c r="H7" t="s">
        <v>34</v>
      </c>
      <c r="I7">
        <v>2</v>
      </c>
      <c r="J7" t="s">
        <v>36</v>
      </c>
    </row>
    <row r="8" spans="1:10">
      <c r="H8" t="s">
        <v>12</v>
      </c>
      <c r="I8" s="24">
        <f>2*SQRT(B1)/I6</f>
        <v>3.7533142722827115</v>
      </c>
    </row>
    <row r="9" spans="1:10">
      <c r="H9" t="s">
        <v>35</v>
      </c>
      <c r="I9" s="24">
        <f>I8*I8</f>
        <v>14.0873680265211</v>
      </c>
    </row>
    <row r="11" spans="1:10">
      <c r="H11" s="25" t="s">
        <v>40</v>
      </c>
    </row>
    <row r="12" spans="1:10">
      <c r="H12" t="s">
        <v>13</v>
      </c>
      <c r="I12">
        <v>0.1</v>
      </c>
      <c r="J12" t="s">
        <v>41</v>
      </c>
    </row>
    <row r="13" spans="1:10">
      <c r="H13" t="s">
        <v>43</v>
      </c>
      <c r="I13" s="24">
        <f>_xlfn.CHISQ.INV(I12/2,B1-1)</f>
        <v>7.2609439276700316</v>
      </c>
    </row>
    <row r="14" spans="1:10">
      <c r="H14" t="s">
        <v>42</v>
      </c>
      <c r="I14" s="26">
        <f>_xlfn.CHISQ.INV(0.95,B1-1)</f>
        <v>24.995790139728623</v>
      </c>
    </row>
    <row r="15" spans="1:10">
      <c r="H15" t="s">
        <v>44</v>
      </c>
      <c r="I15" s="24">
        <f>(B1-1)*I9/I14</f>
        <v>8.4538443960591945</v>
      </c>
      <c r="J15" s="26">
        <f>(B1-1)*I9/I13</f>
        <v>29.102348469123086</v>
      </c>
    </row>
    <row r="17" spans="8:9">
      <c r="H17" s="25" t="s">
        <v>45</v>
      </c>
    </row>
    <row r="18" spans="8:9">
      <c r="H18" s="27" t="s">
        <v>51</v>
      </c>
      <c r="I18">
        <v>0.01</v>
      </c>
    </row>
    <row r="19" spans="8:9">
      <c r="H19" t="s">
        <v>46</v>
      </c>
      <c r="I19">
        <v>2.6</v>
      </c>
    </row>
    <row r="20" spans="8:9">
      <c r="H20" t="s">
        <v>47</v>
      </c>
      <c r="I20" t="s">
        <v>48</v>
      </c>
    </row>
    <row r="21" spans="8:9">
      <c r="H21" t="s">
        <v>49</v>
      </c>
    </row>
    <row r="22" spans="8:9">
      <c r="H22" t="s">
        <v>52</v>
      </c>
    </row>
    <row r="23" spans="8:9">
      <c r="H23" t="s">
        <v>50</v>
      </c>
      <c r="I23" s="23">
        <f>_xlfn.NORM.S.INV(1-I18/2)</f>
        <v>2.5758293035488999</v>
      </c>
    </row>
    <row r="24" spans="8:9">
      <c r="H24" t="s">
        <v>54</v>
      </c>
      <c r="I24" s="23">
        <f>((I23*I8)/I19)</f>
        <v>3.7184218799900473</v>
      </c>
    </row>
    <row r="25" spans="8:9">
      <c r="H25" t="s">
        <v>53</v>
      </c>
      <c r="I25" s="24">
        <f>I24*I24</f>
        <v>13.826661277588718</v>
      </c>
    </row>
    <row r="26" spans="8:9">
      <c r="H26" t="s">
        <v>55</v>
      </c>
    </row>
    <row r="27" spans="8:9">
      <c r="H27" t="s">
        <v>15</v>
      </c>
      <c r="I27" s="24">
        <f>_xlfn.T.INV.2T(I18,I25-1)</f>
        <v>3.0545395893929017</v>
      </c>
    </row>
    <row r="28" spans="8:9">
      <c r="H28" t="s">
        <v>56</v>
      </c>
      <c r="I28" s="24">
        <f>I27*I8/I24</f>
        <v>3.0832023385554188</v>
      </c>
    </row>
    <row r="29" spans="8:9">
      <c r="H29" t="s">
        <v>57</v>
      </c>
    </row>
    <row r="30" spans="8:9">
      <c r="H30" t="s">
        <v>58</v>
      </c>
      <c r="I30">
        <v>18</v>
      </c>
    </row>
    <row r="31" spans="8:9">
      <c r="H31" t="s">
        <v>15</v>
      </c>
      <c r="I31" s="24">
        <f>_xlfn.T.INV.2T(I18,I30)</f>
        <v>2.8784404727386073</v>
      </c>
    </row>
    <row r="32" spans="8:9">
      <c r="H32" t="s">
        <v>56</v>
      </c>
      <c r="I32" s="24">
        <f>I31*I8/SQRT(I30)</f>
        <v>2.5464545562498766</v>
      </c>
    </row>
    <row r="33" spans="8:8">
      <c r="H3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2B0B-042B-43AA-870E-DE31C5DD1C95}">
  <dimension ref="A1:G35"/>
  <sheetViews>
    <sheetView tabSelected="1" zoomScale="80" zoomScaleNormal="80" workbookViewId="0">
      <selection activeCell="O21" sqref="O21"/>
    </sheetView>
  </sheetViews>
  <sheetFormatPr baseColWidth="10" defaultRowHeight="14.4"/>
  <cols>
    <col min="3" max="3" width="12.44140625" style="29" bestFit="1" customWidth="1"/>
  </cols>
  <sheetData>
    <row r="1" spans="1:7" ht="15" thickBot="1"/>
    <row r="2" spans="1:7">
      <c r="A2" s="32" t="s">
        <v>80</v>
      </c>
      <c r="B2" s="33" t="s">
        <v>60</v>
      </c>
      <c r="C2" s="45">
        <v>0.55000000000000004</v>
      </c>
      <c r="D2" s="33" t="s">
        <v>61</v>
      </c>
      <c r="E2" s="33"/>
      <c r="F2" s="33"/>
      <c r="G2" s="34"/>
    </row>
    <row r="3" spans="1:7">
      <c r="A3" s="35"/>
      <c r="B3" s="36" t="s">
        <v>62</v>
      </c>
      <c r="C3" s="44">
        <v>100</v>
      </c>
      <c r="D3" s="36"/>
      <c r="E3" s="36"/>
      <c r="F3" s="36"/>
      <c r="G3" s="37"/>
    </row>
    <row r="4" spans="1:7">
      <c r="A4" s="35"/>
      <c r="B4" s="36" t="s">
        <v>51</v>
      </c>
      <c r="C4" s="38">
        <v>0.05</v>
      </c>
      <c r="D4" s="36"/>
      <c r="E4" s="36"/>
      <c r="F4" s="36"/>
      <c r="G4" s="37"/>
    </row>
    <row r="5" spans="1:7">
      <c r="A5" s="35"/>
      <c r="B5" s="36"/>
      <c r="C5" s="42"/>
      <c r="D5" s="36"/>
      <c r="E5" s="36"/>
      <c r="F5" s="36"/>
      <c r="G5" s="37"/>
    </row>
    <row r="6" spans="1:7">
      <c r="A6" s="35"/>
      <c r="B6" s="36" t="s">
        <v>75</v>
      </c>
      <c r="C6" s="42">
        <f>1-C4/2</f>
        <v>0.97499999999999998</v>
      </c>
      <c r="D6" s="36"/>
      <c r="E6" s="36"/>
      <c r="F6" s="36"/>
      <c r="G6" s="37"/>
    </row>
    <row r="7" spans="1:7">
      <c r="A7" s="35"/>
      <c r="B7" s="36" t="s">
        <v>76</v>
      </c>
      <c r="C7" s="42">
        <f>_xlfn.NORM.S.INV(C6)</f>
        <v>1.9599639845400536</v>
      </c>
      <c r="D7" s="36"/>
      <c r="E7" s="36"/>
      <c r="F7" s="36" t="s">
        <v>83</v>
      </c>
      <c r="G7" s="37">
        <f>C3*C2</f>
        <v>55.000000000000007</v>
      </c>
    </row>
    <row r="8" spans="1:7">
      <c r="A8" s="35"/>
      <c r="B8" s="36" t="s">
        <v>77</v>
      </c>
      <c r="C8" s="42">
        <f>C7*SQRT(C2*(1-C2)/C3)</f>
        <v>9.7506977089939328E-2</v>
      </c>
      <c r="D8" s="36"/>
      <c r="E8" s="36"/>
      <c r="F8" s="36" t="s">
        <v>84</v>
      </c>
      <c r="G8" s="37">
        <f>C3*(1-C2)</f>
        <v>44.999999999999993</v>
      </c>
    </row>
    <row r="9" spans="1:7">
      <c r="A9" s="35"/>
      <c r="B9" s="36"/>
      <c r="C9" s="42"/>
      <c r="D9" s="36"/>
      <c r="E9" s="36"/>
      <c r="F9" s="36"/>
      <c r="G9" s="37"/>
    </row>
    <row r="10" spans="1:7">
      <c r="A10" s="35"/>
      <c r="B10" s="36" t="s">
        <v>79</v>
      </c>
      <c r="C10" s="42">
        <f>C2-C8</f>
        <v>0.45249302291006072</v>
      </c>
      <c r="D10" s="36"/>
      <c r="E10" s="36"/>
      <c r="F10" s="36"/>
      <c r="G10" s="37"/>
    </row>
    <row r="11" spans="1:7" ht="15" thickBot="1">
      <c r="A11" s="39"/>
      <c r="B11" s="40" t="s">
        <v>78</v>
      </c>
      <c r="C11" s="43">
        <f>C2+C8</f>
        <v>0.64750697708993932</v>
      </c>
      <c r="D11" s="40"/>
      <c r="E11" s="40"/>
      <c r="F11" s="40"/>
      <c r="G11" s="41"/>
    </row>
    <row r="12" spans="1:7">
      <c r="A12" s="36"/>
      <c r="B12" s="36"/>
      <c r="C12" s="42"/>
      <c r="D12" s="36"/>
      <c r="E12" s="36"/>
      <c r="F12" s="36"/>
      <c r="G12" s="36"/>
    </row>
    <row r="13" spans="1:7" ht="15" thickBot="1">
      <c r="A13" s="36"/>
      <c r="B13" s="36"/>
      <c r="C13" s="42"/>
      <c r="D13" s="36"/>
      <c r="E13" s="36"/>
      <c r="F13" s="36"/>
      <c r="G13" s="36"/>
    </row>
    <row r="14" spans="1:7">
      <c r="A14" s="32" t="s">
        <v>81</v>
      </c>
      <c r="B14" s="33" t="s">
        <v>60</v>
      </c>
      <c r="C14" s="45">
        <v>0.55000000000000004</v>
      </c>
      <c r="D14" s="33" t="s">
        <v>61</v>
      </c>
      <c r="E14" s="33"/>
      <c r="F14" s="33"/>
      <c r="G14" s="34"/>
    </row>
    <row r="15" spans="1:7">
      <c r="A15" s="35"/>
      <c r="B15" s="36" t="s">
        <v>62</v>
      </c>
      <c r="C15" s="44">
        <v>1000</v>
      </c>
      <c r="D15" s="36"/>
      <c r="E15" s="36"/>
      <c r="F15" s="36"/>
      <c r="G15" s="37"/>
    </row>
    <row r="16" spans="1:7">
      <c r="A16" s="35"/>
      <c r="B16" s="36" t="s">
        <v>51</v>
      </c>
      <c r="C16" s="38">
        <v>0.05</v>
      </c>
      <c r="D16" s="36"/>
      <c r="E16" s="36"/>
      <c r="F16" s="36"/>
      <c r="G16" s="37"/>
    </row>
    <row r="17" spans="1:7">
      <c r="A17" s="35"/>
      <c r="B17" s="36"/>
      <c r="C17" s="42"/>
      <c r="D17" s="36"/>
      <c r="E17" s="36"/>
      <c r="F17" s="36"/>
      <c r="G17" s="37"/>
    </row>
    <row r="18" spans="1:7">
      <c r="A18" s="35"/>
      <c r="B18" s="36" t="s">
        <v>75</v>
      </c>
      <c r="C18" s="42">
        <f>1-C16/2</f>
        <v>0.97499999999999998</v>
      </c>
      <c r="D18" s="36"/>
      <c r="E18" s="36"/>
      <c r="F18" s="36"/>
      <c r="G18" s="37"/>
    </row>
    <row r="19" spans="1:7">
      <c r="A19" s="35"/>
      <c r="B19" s="36" t="s">
        <v>76</v>
      </c>
      <c r="C19" s="42">
        <f>_xlfn.NORM.S.INV(C18)</f>
        <v>1.9599639845400536</v>
      </c>
      <c r="D19" s="36"/>
      <c r="E19" s="36"/>
      <c r="F19" s="36" t="s">
        <v>83</v>
      </c>
      <c r="G19" s="37">
        <f>C15*C14</f>
        <v>550</v>
      </c>
    </row>
    <row r="20" spans="1:7">
      <c r="A20" s="35"/>
      <c r="B20" s="36" t="s">
        <v>77</v>
      </c>
      <c r="C20" s="42">
        <f>C19*SQRT(C14*(1-C14)/C15)</f>
        <v>3.0834413536206518E-2</v>
      </c>
      <c r="D20" s="36"/>
      <c r="E20" s="36"/>
      <c r="F20" s="36" t="s">
        <v>84</v>
      </c>
      <c r="G20" s="37">
        <f>C15*(1-C14)</f>
        <v>449.99999999999994</v>
      </c>
    </row>
    <row r="21" spans="1:7">
      <c r="A21" s="35"/>
      <c r="B21" s="36"/>
      <c r="C21" s="42"/>
      <c r="D21" s="36"/>
      <c r="E21" s="36"/>
      <c r="F21" s="36"/>
      <c r="G21" s="37"/>
    </row>
    <row r="22" spans="1:7">
      <c r="A22" s="35"/>
      <c r="B22" s="36" t="s">
        <v>79</v>
      </c>
      <c r="C22" s="42">
        <f>C14-C20</f>
        <v>0.51916558646379352</v>
      </c>
      <c r="D22" s="36"/>
      <c r="E22" s="36"/>
      <c r="F22" s="36"/>
      <c r="G22" s="37"/>
    </row>
    <row r="23" spans="1:7" ht="15" thickBot="1">
      <c r="A23" s="39"/>
      <c r="B23" s="40" t="s">
        <v>78</v>
      </c>
      <c r="C23" s="43">
        <f>C14+C20</f>
        <v>0.58083441353620657</v>
      </c>
      <c r="D23" s="40"/>
      <c r="E23" s="40"/>
      <c r="F23" s="40"/>
      <c r="G23" s="41"/>
    </row>
    <row r="24" spans="1:7">
      <c r="A24" s="36"/>
      <c r="B24" s="36"/>
      <c r="C24" s="42"/>
      <c r="D24" s="36"/>
      <c r="E24" s="36"/>
      <c r="F24" s="36"/>
      <c r="G24" s="36"/>
    </row>
    <row r="25" spans="1:7" ht="15" thickBot="1">
      <c r="A25" s="36"/>
      <c r="B25" s="36"/>
      <c r="C25" s="42"/>
      <c r="D25" s="36"/>
      <c r="E25" s="36"/>
      <c r="F25" s="36"/>
      <c r="G25" s="36"/>
    </row>
    <row r="26" spans="1:7">
      <c r="A26" s="32" t="s">
        <v>82</v>
      </c>
      <c r="B26" s="33" t="s">
        <v>60</v>
      </c>
      <c r="C26" s="45">
        <v>0.55000000000000004</v>
      </c>
      <c r="D26" s="33" t="s">
        <v>61</v>
      </c>
      <c r="E26" s="33"/>
      <c r="F26" s="33"/>
      <c r="G26" s="34"/>
    </row>
    <row r="27" spans="1:7">
      <c r="A27" s="35"/>
      <c r="B27" s="36" t="s">
        <v>62</v>
      </c>
      <c r="C27" s="44">
        <v>1000</v>
      </c>
      <c r="D27" s="36"/>
      <c r="E27" s="36"/>
      <c r="F27" s="36"/>
      <c r="G27" s="37"/>
    </row>
    <row r="28" spans="1:7">
      <c r="A28" s="35"/>
      <c r="B28" s="36" t="s">
        <v>51</v>
      </c>
      <c r="C28" s="38">
        <v>0.01</v>
      </c>
      <c r="D28" s="36"/>
      <c r="E28" s="36"/>
      <c r="F28" s="36"/>
      <c r="G28" s="37"/>
    </row>
    <row r="29" spans="1:7">
      <c r="A29" s="35"/>
      <c r="B29" s="36"/>
      <c r="C29" s="42"/>
      <c r="D29" s="36"/>
      <c r="E29" s="36"/>
      <c r="F29" s="36"/>
      <c r="G29" s="37"/>
    </row>
    <row r="30" spans="1:7">
      <c r="A30" s="35"/>
      <c r="B30" s="36" t="s">
        <v>75</v>
      </c>
      <c r="C30" s="42">
        <f>1-C28/2</f>
        <v>0.995</v>
      </c>
      <c r="D30" s="36"/>
      <c r="E30" s="36"/>
      <c r="F30" s="36"/>
      <c r="G30" s="37"/>
    </row>
    <row r="31" spans="1:7">
      <c r="A31" s="35"/>
      <c r="B31" s="36" t="s">
        <v>76</v>
      </c>
      <c r="C31" s="42">
        <f>_xlfn.NORM.S.INV(C30)</f>
        <v>2.5758293035488999</v>
      </c>
      <c r="D31" s="36"/>
      <c r="E31" s="36"/>
      <c r="F31" s="36" t="s">
        <v>83</v>
      </c>
      <c r="G31" s="37">
        <f>C27*C26</f>
        <v>550</v>
      </c>
    </row>
    <row r="32" spans="1:7">
      <c r="A32" s="35"/>
      <c r="B32" s="36" t="s">
        <v>77</v>
      </c>
      <c r="C32" s="42">
        <f>C31*SQRT(C26*(1-C26)/C27)</f>
        <v>4.0523288474070683E-2</v>
      </c>
      <c r="D32" s="36"/>
      <c r="E32" s="36"/>
      <c r="F32" s="36" t="s">
        <v>84</v>
      </c>
      <c r="G32" s="37">
        <f>C27*(1-C26)</f>
        <v>449.99999999999994</v>
      </c>
    </row>
    <row r="33" spans="1:7">
      <c r="A33" s="35"/>
      <c r="B33" s="36"/>
      <c r="C33" s="42"/>
      <c r="D33" s="36"/>
      <c r="E33" s="36"/>
      <c r="F33" s="36"/>
      <c r="G33" s="37"/>
    </row>
    <row r="34" spans="1:7">
      <c r="A34" s="35"/>
      <c r="B34" s="36" t="s">
        <v>79</v>
      </c>
      <c r="C34" s="42">
        <f>C26-C32</f>
        <v>0.50947671152592933</v>
      </c>
      <c r="D34" s="36"/>
      <c r="E34" s="36"/>
      <c r="F34" s="36"/>
      <c r="G34" s="37"/>
    </row>
    <row r="35" spans="1:7" ht="15" thickBot="1">
      <c r="A35" s="39"/>
      <c r="B35" s="40" t="s">
        <v>78</v>
      </c>
      <c r="C35" s="43">
        <f>C26+C32</f>
        <v>0.59052328847407076</v>
      </c>
      <c r="D35" s="40"/>
      <c r="E35" s="40"/>
      <c r="F35" s="40"/>
      <c r="G35" s="41"/>
    </row>
  </sheetData>
  <mergeCells count="3">
    <mergeCell ref="A2:A11"/>
    <mergeCell ref="A14:A23"/>
    <mergeCell ref="A26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 Juliette</dc:creator>
  <cp:lastModifiedBy>Bluem Juliette</cp:lastModifiedBy>
  <dcterms:created xsi:type="dcterms:W3CDTF">2021-01-20T09:09:34Z</dcterms:created>
  <dcterms:modified xsi:type="dcterms:W3CDTF">2021-02-01T16:53:34Z</dcterms:modified>
</cp:coreProperties>
</file>