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jux\Documents\GitHub\JWatch\"/>
    </mc:Choice>
  </mc:AlternateContent>
  <xr:revisionPtr revIDLastSave="0" documentId="13_ncr:1_{7EB9579B-8944-483D-B1AA-F3CF2DD83EAC}" xr6:coauthVersionLast="47" xr6:coauthVersionMax="47" xr10:uidLastSave="{00000000-0000-0000-0000-000000000000}"/>
  <bookViews>
    <workbookView xWindow="-120" yWindow="-120" windowWidth="29040" windowHeight="15720" activeTab="1" xr2:uid="{075F82BD-02A2-4454-8243-348703E68BB4}"/>
  </bookViews>
  <sheets>
    <sheet name="Compos" sheetId="1" r:id="rId1"/>
    <sheet name="Power" sheetId="5" r:id="rId2"/>
    <sheet name="ESP32-pins" sheetId="2" r:id="rId3"/>
    <sheet name="I2C" sheetId="3" r:id="rId4"/>
    <sheet name="RTC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5" l="1"/>
  <c r="D42" i="5"/>
  <c r="J2" i="5"/>
  <c r="I2" i="5"/>
  <c r="G10" i="5"/>
  <c r="G11" i="5"/>
  <c r="G12" i="5"/>
  <c r="G14" i="5"/>
  <c r="G16" i="5"/>
  <c r="G17" i="5"/>
  <c r="G19" i="5"/>
  <c r="G20" i="5"/>
  <c r="G21" i="5"/>
  <c r="G22" i="5"/>
  <c r="G23" i="5"/>
  <c r="G24" i="5"/>
  <c r="G26" i="5"/>
  <c r="G27" i="5"/>
  <c r="G28" i="5"/>
  <c r="G29" i="5"/>
  <c r="G30" i="5"/>
  <c r="G31" i="5"/>
  <c r="G32" i="5"/>
  <c r="G34" i="5"/>
  <c r="G35" i="5"/>
  <c r="G37" i="5"/>
  <c r="G38" i="5"/>
  <c r="G39" i="5"/>
  <c r="G40" i="5"/>
  <c r="G3" i="5"/>
  <c r="G4" i="5"/>
  <c r="G5" i="5"/>
  <c r="G6" i="5"/>
  <c r="G7" i="5"/>
  <c r="G8" i="5"/>
  <c r="G2" i="5"/>
  <c r="E40" i="5"/>
  <c r="E39" i="5"/>
  <c r="E38" i="5"/>
  <c r="E37" i="5"/>
  <c r="E24" i="5"/>
  <c r="E23" i="5"/>
  <c r="E22" i="5"/>
  <c r="E21" i="5"/>
  <c r="E20" i="5"/>
  <c r="E19" i="5"/>
  <c r="E17" i="5"/>
  <c r="E16" i="5"/>
  <c r="E11" i="5"/>
  <c r="E10" i="5"/>
  <c r="D40" i="5"/>
  <c r="D39" i="5"/>
  <c r="D38" i="5"/>
  <c r="D37" i="5"/>
  <c r="D35" i="5"/>
  <c r="D32" i="5"/>
  <c r="D31" i="5"/>
  <c r="D30" i="5"/>
  <c r="D29" i="5"/>
  <c r="D28" i="5"/>
  <c r="D27" i="5"/>
  <c r="D26" i="5"/>
  <c r="D24" i="5"/>
  <c r="D23" i="5"/>
  <c r="D22" i="5"/>
  <c r="D21" i="5"/>
  <c r="D20" i="5"/>
  <c r="D19" i="5"/>
  <c r="D17" i="5"/>
  <c r="D16" i="5"/>
  <c r="D14" i="5"/>
  <c r="D11" i="5"/>
  <c r="D10" i="5"/>
  <c r="D8" i="5"/>
  <c r="D5" i="5"/>
  <c r="D4" i="5"/>
  <c r="D3" i="5"/>
  <c r="D2" i="5"/>
  <c r="C9" i="4"/>
  <c r="C21" i="4"/>
  <c r="C20" i="4"/>
  <c r="C19" i="4"/>
  <c r="C18" i="4"/>
  <c r="C16" i="4"/>
  <c r="C13" i="4"/>
  <c r="C14" i="4"/>
  <c r="B14" i="4"/>
  <c r="B13" i="4"/>
  <c r="C12" i="4"/>
  <c r="B12" i="4"/>
  <c r="C6" i="4"/>
  <c r="C5" i="4"/>
</calcChain>
</file>

<file path=xl/sharedStrings.xml><?xml version="1.0" encoding="utf-8"?>
<sst xmlns="http://schemas.openxmlformats.org/spreadsheetml/2006/main" count="235" uniqueCount="179">
  <si>
    <t>Composant</t>
  </si>
  <si>
    <t>Type</t>
  </si>
  <si>
    <t>µC</t>
  </si>
  <si>
    <t>Pin</t>
  </si>
  <si>
    <t>IO01</t>
  </si>
  <si>
    <t>IO02</t>
  </si>
  <si>
    <t>IO03</t>
  </si>
  <si>
    <t>IO04</t>
  </si>
  <si>
    <t>IO05</t>
  </si>
  <si>
    <t>IO06</t>
  </si>
  <si>
    <t>IO07</t>
  </si>
  <si>
    <t>IO08</t>
  </si>
  <si>
    <t>IO09</t>
  </si>
  <si>
    <t>IO10</t>
  </si>
  <si>
    <t>IO11</t>
  </si>
  <si>
    <t>IO12</t>
  </si>
  <si>
    <t>IO13</t>
  </si>
  <si>
    <t>IO14</t>
  </si>
  <si>
    <t>IO15</t>
  </si>
  <si>
    <t>IO16</t>
  </si>
  <si>
    <t>IO17</t>
  </si>
  <si>
    <t>IO18</t>
  </si>
  <si>
    <t>IO19</t>
  </si>
  <si>
    <t>IO20</t>
  </si>
  <si>
    <t>IO21</t>
  </si>
  <si>
    <t>IO26</t>
  </si>
  <si>
    <t>IO33</t>
  </si>
  <si>
    <t>IO34</t>
  </si>
  <si>
    <t>IO35</t>
  </si>
  <si>
    <t>IO36</t>
  </si>
  <si>
    <t>IO37</t>
  </si>
  <si>
    <t>IO38</t>
  </si>
  <si>
    <t>IO39</t>
  </si>
  <si>
    <t>IO40</t>
  </si>
  <si>
    <t>IO41</t>
  </si>
  <si>
    <t>IO42</t>
  </si>
  <si>
    <t>IO45</t>
  </si>
  <si>
    <t>IO46</t>
  </si>
  <si>
    <t>IO47</t>
  </si>
  <si>
    <t>IO48</t>
  </si>
  <si>
    <t>IO00</t>
  </si>
  <si>
    <t>Module</t>
  </si>
  <si>
    <t>RTC</t>
  </si>
  <si>
    <t>Address</t>
  </si>
  <si>
    <t>1010010b</t>
  </si>
  <si>
    <t>Params</t>
  </si>
  <si>
    <t>Value</t>
  </si>
  <si>
    <t>Vmax</t>
  </si>
  <si>
    <t>Vmin</t>
  </si>
  <si>
    <t>Imax</t>
  </si>
  <si>
    <t>Iavg</t>
  </si>
  <si>
    <t>Supercapa</t>
  </si>
  <si>
    <t>C</t>
  </si>
  <si>
    <t>Schottky Diode</t>
  </si>
  <si>
    <t>https://www.mouser.be/ProductDetail/Skyworks-Solutions-Inc/SMS3922-001LF?qs=WMHGlxXAKT974McT9yqRxw%3D%3D</t>
  </si>
  <si>
    <t>https://www.mouser.be/ProductDetail/KEMET/FC0V224ZFTBR24?qs=sGAEpiMZZMsCu9HefNWqpsUFdWrjZV9qolPd%2Fj0aoNYGqrqoUfipuQ%3D%3D</t>
  </si>
  <si>
    <t>Vf</t>
  </si>
  <si>
    <t>Ir</t>
  </si>
  <si>
    <t>AVG</t>
  </si>
  <si>
    <t>MIN</t>
  </si>
  <si>
    <t>Vdd</t>
  </si>
  <si>
    <t>V</t>
  </si>
  <si>
    <t>I</t>
  </si>
  <si>
    <t>A</t>
  </si>
  <si>
    <t>F</t>
  </si>
  <si>
    <t>Unit</t>
  </si>
  <si>
    <t>s</t>
  </si>
  <si>
    <t>h</t>
  </si>
  <si>
    <t>d</t>
  </si>
  <si>
    <t>If</t>
  </si>
  <si>
    <t>Rcharge</t>
  </si>
  <si>
    <t>R</t>
  </si>
  <si>
    <t>ohm</t>
  </si>
  <si>
    <t>Estimated time</t>
  </si>
  <si>
    <t>Vcharge</t>
  </si>
  <si>
    <t>U</t>
  </si>
  <si>
    <t>Tau</t>
  </si>
  <si>
    <t>RC</t>
  </si>
  <si>
    <t>Full charge</t>
  </si>
  <si>
    <t>t</t>
  </si>
  <si>
    <t>Icharge</t>
  </si>
  <si>
    <t>RV-3028-C7</t>
  </si>
  <si>
    <t>Pressure</t>
  </si>
  <si>
    <t>BMP390</t>
  </si>
  <si>
    <t>Feature</t>
  </si>
  <si>
    <t>Time</t>
  </si>
  <si>
    <t>SDO GND</t>
  </si>
  <si>
    <t>SDO VDD</t>
  </si>
  <si>
    <t>0x76</t>
  </si>
  <si>
    <t>0x77</t>
  </si>
  <si>
    <t>Light</t>
  </si>
  <si>
    <t>BH1750</t>
  </si>
  <si>
    <t>0100011</t>
  </si>
  <si>
    <t>ADDR H</t>
  </si>
  <si>
    <t>ADDR L</t>
  </si>
  <si>
    <t>0x52</t>
  </si>
  <si>
    <t>0x5C</t>
  </si>
  <si>
    <t>0x23</t>
  </si>
  <si>
    <t>Buttons</t>
  </si>
  <si>
    <t>SLLB510200</t>
  </si>
  <si>
    <t>IMU</t>
  </si>
  <si>
    <t>SD0 L</t>
  </si>
  <si>
    <t>SD0 H</t>
  </si>
  <si>
    <t>0x6A</t>
  </si>
  <si>
    <t>0x6B</t>
  </si>
  <si>
    <t>HEX</t>
  </si>
  <si>
    <t>lsm6dso</t>
  </si>
  <si>
    <t>ESP32-S3-WROOM-1-N8R8</t>
  </si>
  <si>
    <t>HR SPiO2</t>
  </si>
  <si>
    <t>MAX30101</t>
  </si>
  <si>
    <t>Hub HR</t>
  </si>
  <si>
    <t>MAX32664</t>
  </si>
  <si>
    <t>Screen</t>
  </si>
  <si>
    <t>Haptic</t>
  </si>
  <si>
    <t>HD-EMC0903-LW27</t>
  </si>
  <si>
    <t>Power</t>
  </si>
  <si>
    <t>W</t>
  </si>
  <si>
    <t>Vdd (V)</t>
  </si>
  <si>
    <t>Mode</t>
  </si>
  <si>
    <t>I_max (ÂµA/mA)</t>
  </si>
  <si>
    <t>Remarques / Conditions</t>
  </si>
  <si>
    <t>ESP32-S3</t>
  </si>
  <si>
    <t>Deep Sleep</t>
  </si>
  <si>
    <t>Wi-Fi/BLE off, GPIO hold</t>
  </si>
  <si>
    <t>Light Sleep</t>
  </si>
  <si>
    <t>CPU idle, radio off</t>
  </si>
  <si>
    <t>Modem Sleep</t>
  </si>
  <si>
    <t>40â€“240 MHz, selon cores actifs</t>
  </si>
  <si>
    <t>BLE actif</t>
  </si>
  <si>
    <t>Intervalle publicitÃ© typique</t>
  </si>
  <si>
    <t>Wi-Fi RX</t>
  </si>
  <si>
    <t>RÃ©ception continue</t>
  </si>
  <si>
    <t>Wi-Fi TX</t>
  </si>
  <si>
    <t>TX @ 17â€“20.5 dBm selon norme</t>
  </si>
  <si>
    <t>Power Off</t>
  </si>
  <si>
    <t>CHIP_PU low</t>
  </si>
  <si>
    <t>Shutdown</t>
  </si>
  <si>
    <t>Idle (LED off)</t>
  </si>
  <si>
    <t>Pas de pulses LED</t>
  </si>
  <si>
    <t>LED active (sport)</t>
  </si>
  <si>
    <t>3 LEDs max 50 mA</t>
  </si>
  <si>
    <t>RTC only</t>
  </si>
  <si>
    <t>Power Down</t>
  </si>
  <si>
    <t>H-Resolution</t>
  </si>
  <si>
    <t>Ev=100 lx</t>
  </si>
  <si>
    <t>Ultra Low Power</t>
  </si>
  <si>
    <t>x1, x1, 1 Hz</t>
  </si>
  <si>
    <t>Low Power</t>
  </si>
  <si>
    <t>x2, x1, 1 Hz</t>
  </si>
  <si>
    <t>Standard</t>
  </si>
  <si>
    <t>x4, x1, 1 Hz</t>
  </si>
  <si>
    <t>High Res</t>
  </si>
  <si>
    <t>x8, x1, 1 Hz</t>
  </si>
  <si>
    <t>Ultra High Res</t>
  </si>
  <si>
    <t>x16, x2, 1 Hz</t>
  </si>
  <si>
    <t>Highest Res</t>
  </si>
  <si>
    <t>x32, x2, 1 Hz</t>
  </si>
  <si>
    <t>LSM6DSO</t>
  </si>
  <si>
    <t>Gyro+Accel High Perf</t>
  </si>
  <si>
    <t>ODR 104 Hz</t>
  </si>
  <si>
    <t>Accel High Perf</t>
  </si>
  <si>
    <t>Accel Low Power</t>
  </si>
  <si>
    <t>ODR 52 Hz</t>
  </si>
  <si>
    <t>ODR 1.6 Hz</t>
  </si>
  <si>
    <t>Accel Ultra Low Power</t>
  </si>
  <si>
    <t>PCA9306</t>
  </si>
  <si>
    <t>Active</t>
  </si>
  <si>
    <t>Ron dÃ©pend tension EN</t>
  </si>
  <si>
    <t>Idle</t>
  </si>
  <si>
    <t>RV-3028</t>
  </si>
  <si>
    <t>Timekeeping</t>
  </si>
  <si>
    <t>3.0 V, IÂ²C off, CLKOUT off</t>
  </si>
  <si>
    <t>3.0 V, 400 kHz</t>
  </si>
  <si>
    <t>Direct Switching Mode</t>
  </si>
  <si>
    <t>Level Switching Mode</t>
  </si>
  <si>
    <t>I_typ (A)</t>
  </si>
  <si>
    <t>I²C burst</t>
  </si>
  <si>
    <t>Power modem</t>
  </si>
  <si>
    <t>PWM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</si>
</sst>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169" fontId="0" fillId="0" borderId="0" xfId="0" applyNumberFormat="1"/>
    <xf numFmtId="11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CAD86-64C2-4EC0-B9BA-AB0655B9C524}">
  <dimension ref="A1:B11"/>
  <sheetViews>
    <sheetView zoomScale="235" zoomScaleNormal="235" workbookViewId="0">
      <selection activeCell="B11" sqref="B11"/>
    </sheetView>
  </sheetViews>
  <sheetFormatPr baseColWidth="10" defaultRowHeight="15" x14ac:dyDescent="0.25"/>
  <cols>
    <col min="1" max="1" width="17.5703125" customWidth="1"/>
    <col min="2" max="2" width="23.28515625" customWidth="1"/>
  </cols>
  <sheetData>
    <row r="1" spans="1:2" x14ac:dyDescent="0.25">
      <c r="A1" t="s">
        <v>1</v>
      </c>
      <c r="B1" t="s">
        <v>0</v>
      </c>
    </row>
    <row r="2" spans="1:2" x14ac:dyDescent="0.25">
      <c r="A2" t="s">
        <v>2</v>
      </c>
      <c r="B2" t="s">
        <v>107</v>
      </c>
    </row>
    <row r="3" spans="1:2" x14ac:dyDescent="0.25">
      <c r="A3" t="s">
        <v>42</v>
      </c>
      <c r="B3" t="s">
        <v>81</v>
      </c>
    </row>
    <row r="4" spans="1:2" x14ac:dyDescent="0.25">
      <c r="A4" t="s">
        <v>82</v>
      </c>
      <c r="B4" t="s">
        <v>83</v>
      </c>
    </row>
    <row r="5" spans="1:2" x14ac:dyDescent="0.25">
      <c r="A5" t="s">
        <v>90</v>
      </c>
      <c r="B5" t="s">
        <v>91</v>
      </c>
    </row>
    <row r="6" spans="1:2" x14ac:dyDescent="0.25">
      <c r="A6" t="s">
        <v>98</v>
      </c>
      <c r="B6" t="s">
        <v>99</v>
      </c>
    </row>
    <row r="7" spans="1:2" x14ac:dyDescent="0.25">
      <c r="A7" t="s">
        <v>100</v>
      </c>
      <c r="B7" t="s">
        <v>106</v>
      </c>
    </row>
    <row r="8" spans="1:2" x14ac:dyDescent="0.25">
      <c r="A8" t="s">
        <v>108</v>
      </c>
      <c r="B8" t="s">
        <v>109</v>
      </c>
    </row>
    <row r="9" spans="1:2" x14ac:dyDescent="0.25">
      <c r="A9" t="s">
        <v>110</v>
      </c>
      <c r="B9" t="s">
        <v>111</v>
      </c>
    </row>
    <row r="10" spans="1:2" x14ac:dyDescent="0.25">
      <c r="A10" t="s">
        <v>112</v>
      </c>
    </row>
    <row r="11" spans="1:2" x14ac:dyDescent="0.25">
      <c r="A11" t="s">
        <v>113</v>
      </c>
      <c r="B11" s="3" t="s">
        <v>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E3889-ECDF-43BC-82AC-0CF760F616C9}">
  <dimension ref="A1:J42"/>
  <sheetViews>
    <sheetView tabSelected="1" zoomScale="175" zoomScaleNormal="175" workbookViewId="0">
      <selection activeCell="G42" sqref="G42"/>
    </sheetView>
  </sheetViews>
  <sheetFormatPr baseColWidth="10" defaultRowHeight="15" x14ac:dyDescent="0.25"/>
  <cols>
    <col min="2" max="2" width="12.42578125" customWidth="1"/>
    <col min="3" max="3" width="20.5703125" customWidth="1"/>
    <col min="4" max="4" width="16.140625" style="5" customWidth="1"/>
    <col min="5" max="5" width="17" style="5" customWidth="1"/>
    <col min="6" max="6" width="23.140625" style="3" customWidth="1"/>
    <col min="9" max="9" width="13.28515625" customWidth="1"/>
    <col min="10" max="10" width="14.28515625" bestFit="1" customWidth="1"/>
  </cols>
  <sheetData>
    <row r="1" spans="1:10" x14ac:dyDescent="0.25">
      <c r="A1" t="s">
        <v>0</v>
      </c>
      <c r="B1" t="s">
        <v>117</v>
      </c>
      <c r="C1" t="s">
        <v>118</v>
      </c>
      <c r="D1" s="5" t="s">
        <v>175</v>
      </c>
      <c r="E1" s="5" t="s">
        <v>119</v>
      </c>
      <c r="F1" s="3" t="s">
        <v>120</v>
      </c>
      <c r="G1" t="s">
        <v>115</v>
      </c>
      <c r="I1" t="s">
        <v>177</v>
      </c>
      <c r="J1" t="s">
        <v>122</v>
      </c>
    </row>
    <row r="2" spans="1:10" x14ac:dyDescent="0.25">
      <c r="A2" t="s">
        <v>121</v>
      </c>
      <c r="B2">
        <v>3.3</v>
      </c>
      <c r="C2" t="s">
        <v>122</v>
      </c>
      <c r="D2" s="5">
        <f>8*10^-6</f>
        <v>7.9999999999999996E-6</v>
      </c>
      <c r="F2" s="3" t="s">
        <v>123</v>
      </c>
      <c r="G2" s="5">
        <f>B2*D2</f>
        <v>2.6399999999999998E-5</v>
      </c>
      <c r="H2" s="6" t="s">
        <v>116</v>
      </c>
      <c r="I2" s="4">
        <f>SUM(G4,G12,G14,G17,G21,G26,G34,G38)</f>
        <v>0.32715405000000003</v>
      </c>
      <c r="J2" s="4">
        <f>SUM(G2,G12,G14,G17,G21,G28,G34,G38)</f>
        <v>2.1851250000000003E-2</v>
      </c>
    </row>
    <row r="3" spans="1:10" x14ac:dyDescent="0.25">
      <c r="A3" t="s">
        <v>121</v>
      </c>
      <c r="B3">
        <v>3.3</v>
      </c>
      <c r="C3" t="s">
        <v>124</v>
      </c>
      <c r="D3" s="5">
        <f>240*10^-6</f>
        <v>2.3999999999999998E-4</v>
      </c>
      <c r="F3" s="3" t="s">
        <v>125</v>
      </c>
      <c r="G3" s="5">
        <f t="shared" ref="G3:G42" si="0">B3*D3</f>
        <v>7.9199999999999984E-4</v>
      </c>
      <c r="H3" s="5"/>
      <c r="I3" s="5"/>
      <c r="J3" s="5"/>
    </row>
    <row r="4" spans="1:10" ht="30" x14ac:dyDescent="0.25">
      <c r="A4" t="s">
        <v>121</v>
      </c>
      <c r="B4">
        <v>3.3</v>
      </c>
      <c r="C4" t="s">
        <v>126</v>
      </c>
      <c r="D4" s="5">
        <f>92*10^-3</f>
        <v>9.1999999999999998E-2</v>
      </c>
      <c r="F4" s="3" t="s">
        <v>127</v>
      </c>
      <c r="G4" s="5">
        <f t="shared" si="0"/>
        <v>0.30359999999999998</v>
      </c>
      <c r="H4" s="5"/>
      <c r="I4" s="5"/>
      <c r="J4" s="5"/>
    </row>
    <row r="5" spans="1:10" ht="30" x14ac:dyDescent="0.25">
      <c r="A5" t="s">
        <v>121</v>
      </c>
      <c r="B5">
        <v>3.3</v>
      </c>
      <c r="C5" t="s">
        <v>128</v>
      </c>
      <c r="D5" s="5">
        <f>0.008</f>
        <v>8.0000000000000002E-3</v>
      </c>
      <c r="F5" s="3" t="s">
        <v>129</v>
      </c>
      <c r="G5" s="5">
        <f t="shared" si="0"/>
        <v>2.64E-2</v>
      </c>
      <c r="H5" s="5"/>
      <c r="I5" s="5"/>
      <c r="J5" s="5"/>
    </row>
    <row r="6" spans="1:10" x14ac:dyDescent="0.25">
      <c r="A6" t="s">
        <v>121</v>
      </c>
      <c r="B6">
        <v>3.3</v>
      </c>
      <c r="C6" t="s">
        <v>130</v>
      </c>
      <c r="D6" s="5">
        <v>9.7000000000000003E-2</v>
      </c>
      <c r="F6" s="3" t="s">
        <v>131</v>
      </c>
      <c r="G6" s="5">
        <f t="shared" si="0"/>
        <v>0.3201</v>
      </c>
      <c r="H6" s="5"/>
      <c r="I6" s="5"/>
      <c r="J6" s="5"/>
    </row>
    <row r="7" spans="1:10" ht="30" x14ac:dyDescent="0.25">
      <c r="A7" t="s">
        <v>121</v>
      </c>
      <c r="B7">
        <v>3.3</v>
      </c>
      <c r="C7" t="s">
        <v>132</v>
      </c>
      <c r="D7" s="5">
        <v>0.35499999999999998</v>
      </c>
      <c r="F7" s="3" t="s">
        <v>133</v>
      </c>
      <c r="G7" s="5">
        <f t="shared" si="0"/>
        <v>1.1715</v>
      </c>
      <c r="H7" s="5"/>
      <c r="I7" s="5"/>
      <c r="J7" s="5"/>
    </row>
    <row r="8" spans="1:10" x14ac:dyDescent="0.25">
      <c r="A8" t="s">
        <v>121</v>
      </c>
      <c r="B8">
        <v>3.3</v>
      </c>
      <c r="C8" t="s">
        <v>134</v>
      </c>
      <c r="D8" s="5">
        <f>10^-6</f>
        <v>9.9999999999999995E-7</v>
      </c>
      <c r="F8" s="3" t="s">
        <v>135</v>
      </c>
      <c r="G8" s="5">
        <f t="shared" si="0"/>
        <v>3.2999999999999997E-6</v>
      </c>
      <c r="H8" s="5"/>
      <c r="I8" s="5"/>
      <c r="J8" s="5"/>
    </row>
    <row r="9" spans="1:10" x14ac:dyDescent="0.25">
      <c r="G9" s="5"/>
      <c r="H9" s="5"/>
      <c r="I9" s="5"/>
      <c r="J9" s="5"/>
    </row>
    <row r="10" spans="1:10" x14ac:dyDescent="0.25">
      <c r="A10" t="s">
        <v>109</v>
      </c>
      <c r="B10">
        <v>1.8</v>
      </c>
      <c r="C10" t="s">
        <v>136</v>
      </c>
      <c r="D10" s="5">
        <f>0.7*10^-6</f>
        <v>6.9999999999999997E-7</v>
      </c>
      <c r="E10" s="5">
        <f>2.5*10^-6</f>
        <v>2.4999999999999998E-6</v>
      </c>
      <c r="G10" s="5">
        <f t="shared" si="0"/>
        <v>1.26E-6</v>
      </c>
      <c r="H10" s="5"/>
      <c r="I10" s="5"/>
      <c r="J10" s="5"/>
    </row>
    <row r="11" spans="1:10" x14ac:dyDescent="0.25">
      <c r="A11" t="s">
        <v>109</v>
      </c>
      <c r="B11">
        <v>1.8</v>
      </c>
      <c r="C11" t="s">
        <v>137</v>
      </c>
      <c r="D11" s="5">
        <f>0.6*10^-3</f>
        <v>5.9999999999999995E-4</v>
      </c>
      <c r="E11" s="5">
        <f>1.1*10^-3</f>
        <v>1.1000000000000001E-3</v>
      </c>
      <c r="F11" s="3" t="s">
        <v>138</v>
      </c>
      <c r="G11" s="5">
        <f t="shared" si="0"/>
        <v>1.08E-3</v>
      </c>
      <c r="H11" s="5"/>
      <c r="I11" s="5"/>
      <c r="J11" s="5"/>
    </row>
    <row r="12" spans="1:10" ht="12.75" customHeight="1" x14ac:dyDescent="0.25">
      <c r="A12" t="s">
        <v>109</v>
      </c>
      <c r="B12">
        <v>1.8</v>
      </c>
      <c r="C12" t="s">
        <v>139</v>
      </c>
      <c r="D12" s="5">
        <v>0.01</v>
      </c>
      <c r="E12" s="5">
        <v>0.15</v>
      </c>
      <c r="F12" s="3" t="s">
        <v>140</v>
      </c>
      <c r="G12" s="5">
        <f t="shared" si="0"/>
        <v>1.8000000000000002E-2</v>
      </c>
      <c r="H12" s="5"/>
      <c r="I12" s="5"/>
      <c r="J12" s="5"/>
    </row>
    <row r="13" spans="1:10" ht="12.75" customHeight="1" x14ac:dyDescent="0.25">
      <c r="G13" s="5"/>
      <c r="H13" s="5"/>
      <c r="I13" s="5"/>
      <c r="J13" s="5"/>
    </row>
    <row r="14" spans="1:10" x14ac:dyDescent="0.25">
      <c r="A14" t="s">
        <v>111</v>
      </c>
      <c r="B14">
        <v>1.8</v>
      </c>
      <c r="C14" t="s">
        <v>141</v>
      </c>
      <c r="D14" s="5">
        <f>450*10^-9</f>
        <v>4.5000000000000003E-7</v>
      </c>
      <c r="G14" s="5">
        <f t="shared" si="0"/>
        <v>8.1000000000000008E-7</v>
      </c>
      <c r="H14" s="5"/>
      <c r="I14" s="5"/>
      <c r="J14" s="5"/>
    </row>
    <row r="15" spans="1:10" x14ac:dyDescent="0.25">
      <c r="G15" s="5"/>
      <c r="H15" s="5"/>
      <c r="I15" s="5"/>
      <c r="J15" s="5"/>
    </row>
    <row r="16" spans="1:10" x14ac:dyDescent="0.25">
      <c r="A16" t="s">
        <v>91</v>
      </c>
      <c r="B16">
        <v>3.3</v>
      </c>
      <c r="C16" t="s">
        <v>142</v>
      </c>
      <c r="D16" s="5">
        <f>10*10^-9</f>
        <v>1E-8</v>
      </c>
      <c r="E16" s="5">
        <f>10^-6</f>
        <v>9.9999999999999995E-7</v>
      </c>
      <c r="G16" s="5">
        <f t="shared" si="0"/>
        <v>3.2999999999999998E-8</v>
      </c>
      <c r="H16" s="5"/>
      <c r="I16" s="5"/>
      <c r="J16" s="5"/>
    </row>
    <row r="17" spans="1:10" x14ac:dyDescent="0.25">
      <c r="A17" t="s">
        <v>91</v>
      </c>
      <c r="B17">
        <v>3.3</v>
      </c>
      <c r="C17" t="s">
        <v>143</v>
      </c>
      <c r="D17" s="5">
        <f>120*10^-6</f>
        <v>1.1999999999999999E-4</v>
      </c>
      <c r="E17" s="5">
        <f>190*10^-6</f>
        <v>1.8999999999999998E-4</v>
      </c>
      <c r="F17" s="3" t="s">
        <v>144</v>
      </c>
      <c r="G17" s="5">
        <f t="shared" si="0"/>
        <v>3.9599999999999992E-4</v>
      </c>
      <c r="H17" s="5"/>
      <c r="I17" s="5"/>
      <c r="J17" s="5"/>
    </row>
    <row r="18" spans="1:10" x14ac:dyDescent="0.25">
      <c r="G18" s="5"/>
      <c r="H18" s="5"/>
      <c r="I18" s="5"/>
      <c r="J18" s="5"/>
    </row>
    <row r="19" spans="1:10" x14ac:dyDescent="0.25">
      <c r="A19" t="s">
        <v>83</v>
      </c>
      <c r="B19">
        <v>3.3</v>
      </c>
      <c r="C19" t="s">
        <v>145</v>
      </c>
      <c r="D19" s="5">
        <f>3.2*10^-6</f>
        <v>3.1999999999999999E-6</v>
      </c>
      <c r="E19" s="5">
        <f>7.4*10^-6</f>
        <v>7.4000000000000003E-6</v>
      </c>
      <c r="F19" s="3" t="s">
        <v>146</v>
      </c>
      <c r="G19" s="5">
        <f t="shared" si="0"/>
        <v>1.0559999999999999E-5</v>
      </c>
      <c r="H19" s="5"/>
      <c r="I19" s="5"/>
      <c r="J19" s="5"/>
    </row>
    <row r="20" spans="1:10" x14ac:dyDescent="0.25">
      <c r="A20" t="s">
        <v>83</v>
      </c>
      <c r="B20">
        <v>3.3</v>
      </c>
      <c r="C20" t="s">
        <v>147</v>
      </c>
      <c r="D20" s="5">
        <f>4.8*10^-6</f>
        <v>4.7999999999999998E-6</v>
      </c>
      <c r="E20" s="5">
        <f>9.3*10^-6</f>
        <v>9.3000000000000007E-6</v>
      </c>
      <c r="F20" s="3" t="s">
        <v>148</v>
      </c>
      <c r="G20" s="5">
        <f t="shared" si="0"/>
        <v>1.5839999999999997E-5</v>
      </c>
      <c r="H20" s="5"/>
      <c r="I20" s="5"/>
      <c r="J20" s="5"/>
    </row>
    <row r="21" spans="1:10" x14ac:dyDescent="0.25">
      <c r="A21" t="s">
        <v>83</v>
      </c>
      <c r="B21">
        <v>3.3</v>
      </c>
      <c r="C21" t="s">
        <v>149</v>
      </c>
      <c r="D21" s="5">
        <f>7.8*10^-6</f>
        <v>7.7999999999999999E-6</v>
      </c>
      <c r="E21" s="5">
        <f>12.8*10^-6</f>
        <v>1.2799999999999999E-5</v>
      </c>
      <c r="F21" s="3" t="s">
        <v>150</v>
      </c>
      <c r="G21" s="5">
        <f t="shared" si="0"/>
        <v>2.5739999999999998E-5</v>
      </c>
      <c r="H21" s="5"/>
      <c r="I21" s="4"/>
      <c r="J21" s="4"/>
    </row>
    <row r="22" spans="1:10" x14ac:dyDescent="0.25">
      <c r="A22" t="s">
        <v>83</v>
      </c>
      <c r="B22">
        <v>3.3</v>
      </c>
      <c r="C22" t="s">
        <v>151</v>
      </c>
      <c r="D22" s="5">
        <f>13.8*10^-6</f>
        <v>1.38E-5</v>
      </c>
      <c r="E22" s="5">
        <f>19.5*10^-6</f>
        <v>1.95E-5</v>
      </c>
      <c r="F22" s="3" t="s">
        <v>152</v>
      </c>
      <c r="G22" s="5">
        <f t="shared" si="0"/>
        <v>4.5539999999999994E-5</v>
      </c>
      <c r="H22" s="5"/>
      <c r="I22" s="5"/>
      <c r="J22" s="5"/>
    </row>
    <row r="23" spans="1:10" x14ac:dyDescent="0.25">
      <c r="A23" t="s">
        <v>83</v>
      </c>
      <c r="B23">
        <v>3.3</v>
      </c>
      <c r="C23" t="s">
        <v>153</v>
      </c>
      <c r="D23" s="5">
        <f>26.2*10^-6</f>
        <v>2.6199999999999996E-5</v>
      </c>
      <c r="E23" s="5">
        <f>33.5*10^-6</f>
        <v>3.3500000000000001E-5</v>
      </c>
      <c r="F23" s="3" t="s">
        <v>154</v>
      </c>
      <c r="G23" s="5">
        <f t="shared" si="0"/>
        <v>8.6459999999999982E-5</v>
      </c>
    </row>
    <row r="24" spans="1:10" x14ac:dyDescent="0.25">
      <c r="A24" t="s">
        <v>83</v>
      </c>
      <c r="B24">
        <v>3.3</v>
      </c>
      <c r="C24" t="s">
        <v>155</v>
      </c>
      <c r="D24" s="5">
        <f>46.4*10^-6</f>
        <v>4.6399999999999996E-5</v>
      </c>
      <c r="E24" s="5">
        <f>59.2*10^-6</f>
        <v>5.9200000000000002E-5</v>
      </c>
      <c r="F24" s="3" t="s">
        <v>156</v>
      </c>
      <c r="G24" s="5">
        <f t="shared" si="0"/>
        <v>1.5311999999999997E-4</v>
      </c>
    </row>
    <row r="25" spans="1:10" x14ac:dyDescent="0.25">
      <c r="G25" s="5"/>
    </row>
    <row r="26" spans="1:10" x14ac:dyDescent="0.25">
      <c r="A26" t="s">
        <v>157</v>
      </c>
      <c r="B26">
        <v>3.3</v>
      </c>
      <c r="C26" t="s">
        <v>158</v>
      </c>
      <c r="D26" s="5">
        <f>0.55*10^-3</f>
        <v>5.5000000000000003E-4</v>
      </c>
      <c r="F26" s="3" t="s">
        <v>159</v>
      </c>
      <c r="G26" s="5">
        <f t="shared" si="0"/>
        <v>1.815E-3</v>
      </c>
    </row>
    <row r="27" spans="1:10" x14ac:dyDescent="0.25">
      <c r="A27" t="s">
        <v>157</v>
      </c>
      <c r="B27">
        <v>3.3</v>
      </c>
      <c r="C27" t="s">
        <v>160</v>
      </c>
      <c r="D27" s="5">
        <f>170*10^-6</f>
        <v>1.6999999999999999E-4</v>
      </c>
      <c r="F27" s="3" t="s">
        <v>159</v>
      </c>
      <c r="G27" s="5">
        <f t="shared" si="0"/>
        <v>5.6099999999999987E-4</v>
      </c>
    </row>
    <row r="28" spans="1:10" x14ac:dyDescent="0.25">
      <c r="A28" t="s">
        <v>157</v>
      </c>
      <c r="B28">
        <v>3.3</v>
      </c>
      <c r="C28" t="s">
        <v>161</v>
      </c>
      <c r="D28" s="5">
        <f>26*10^-6</f>
        <v>2.5999999999999998E-5</v>
      </c>
      <c r="F28" s="3" t="s">
        <v>162</v>
      </c>
      <c r="G28" s="5">
        <f t="shared" si="0"/>
        <v>8.5799999999999985E-5</v>
      </c>
    </row>
    <row r="29" spans="1:10" x14ac:dyDescent="0.25">
      <c r="A29" t="s">
        <v>157</v>
      </c>
      <c r="B29">
        <v>3.3</v>
      </c>
      <c r="C29" t="s">
        <v>161</v>
      </c>
      <c r="D29" s="5">
        <f>4.5*10^-6</f>
        <v>4.5000000000000001E-6</v>
      </c>
      <c r="F29" s="3" t="s">
        <v>163</v>
      </c>
      <c r="G29" s="5">
        <f t="shared" si="0"/>
        <v>1.485E-5</v>
      </c>
    </row>
    <row r="30" spans="1:10" x14ac:dyDescent="0.25">
      <c r="A30" t="s">
        <v>157</v>
      </c>
      <c r="B30">
        <v>3.3</v>
      </c>
      <c r="C30" t="s">
        <v>164</v>
      </c>
      <c r="D30" s="5">
        <f>9.5*10^-6</f>
        <v>9.4999999999999988E-6</v>
      </c>
      <c r="F30" s="3" t="s">
        <v>162</v>
      </c>
      <c r="G30" s="5">
        <f t="shared" si="0"/>
        <v>3.1349999999999996E-5</v>
      </c>
    </row>
    <row r="31" spans="1:10" x14ac:dyDescent="0.25">
      <c r="A31" t="s">
        <v>157</v>
      </c>
      <c r="B31">
        <v>3.3</v>
      </c>
      <c r="C31" t="s">
        <v>164</v>
      </c>
      <c r="D31" s="5">
        <f>4.4*10^-6</f>
        <v>4.4000000000000002E-6</v>
      </c>
      <c r="F31" s="3" t="s">
        <v>163</v>
      </c>
      <c r="G31" s="5">
        <f t="shared" si="0"/>
        <v>1.452E-5</v>
      </c>
    </row>
    <row r="32" spans="1:10" x14ac:dyDescent="0.25">
      <c r="A32" t="s">
        <v>157</v>
      </c>
      <c r="B32">
        <v>3.3</v>
      </c>
      <c r="C32" t="s">
        <v>142</v>
      </c>
      <c r="D32" s="5">
        <f>3*10^-6</f>
        <v>3.0000000000000001E-6</v>
      </c>
      <c r="G32" s="5">
        <f t="shared" si="0"/>
        <v>9.9000000000000001E-6</v>
      </c>
    </row>
    <row r="33" spans="1:7" x14ac:dyDescent="0.25">
      <c r="G33" s="5"/>
    </row>
    <row r="34" spans="1:7" x14ac:dyDescent="0.25">
      <c r="A34" t="s">
        <v>165</v>
      </c>
      <c r="B34">
        <v>3.3</v>
      </c>
      <c r="C34" t="s">
        <v>166</v>
      </c>
      <c r="D34" s="5">
        <v>1E-3</v>
      </c>
      <c r="F34" s="3" t="s">
        <v>167</v>
      </c>
      <c r="G34" s="5">
        <f t="shared" si="0"/>
        <v>3.3E-3</v>
      </c>
    </row>
    <row r="35" spans="1:7" x14ac:dyDescent="0.25">
      <c r="A35" t="s">
        <v>165</v>
      </c>
      <c r="B35">
        <v>3.3</v>
      </c>
      <c r="C35" t="s">
        <v>168</v>
      </c>
      <c r="D35" s="5">
        <f>10^-6</f>
        <v>9.9999999999999995E-7</v>
      </c>
      <c r="G35" s="5">
        <f t="shared" si="0"/>
        <v>3.2999999999999997E-6</v>
      </c>
    </row>
    <row r="36" spans="1:7" x14ac:dyDescent="0.25">
      <c r="G36" s="5"/>
    </row>
    <row r="37" spans="1:7" ht="30" x14ac:dyDescent="0.25">
      <c r="A37" t="s">
        <v>169</v>
      </c>
      <c r="B37">
        <v>3.3</v>
      </c>
      <c r="C37" t="s">
        <v>170</v>
      </c>
      <c r="D37" s="5">
        <f>45*10^-9</f>
        <v>4.5000000000000006E-8</v>
      </c>
      <c r="E37" s="5">
        <f>60*10^-9</f>
        <v>6.0000000000000008E-8</v>
      </c>
      <c r="F37" s="3" t="s">
        <v>171</v>
      </c>
      <c r="G37" s="5">
        <f t="shared" si="0"/>
        <v>1.4850000000000001E-7</v>
      </c>
    </row>
    <row r="38" spans="1:7" x14ac:dyDescent="0.25">
      <c r="A38" t="s">
        <v>169</v>
      </c>
      <c r="B38">
        <v>3.3</v>
      </c>
      <c r="C38" t="s">
        <v>176</v>
      </c>
      <c r="D38" s="5">
        <f>5*10^-6</f>
        <v>4.9999999999999996E-6</v>
      </c>
      <c r="E38" s="5">
        <f>40*10^-6</f>
        <v>3.9999999999999996E-5</v>
      </c>
      <c r="F38" s="3" t="s">
        <v>172</v>
      </c>
      <c r="G38" s="5">
        <f t="shared" si="0"/>
        <v>1.6499999999999998E-5</v>
      </c>
    </row>
    <row r="39" spans="1:7" x14ac:dyDescent="0.25">
      <c r="A39" t="s">
        <v>169</v>
      </c>
      <c r="B39">
        <v>3.3</v>
      </c>
      <c r="C39" t="s">
        <v>173</v>
      </c>
      <c r="D39" s="5">
        <f>95*10^-9</f>
        <v>9.5000000000000004E-8</v>
      </c>
      <c r="E39" s="5">
        <f>150*10^-9</f>
        <v>1.5000000000000002E-7</v>
      </c>
      <c r="G39" s="5">
        <f t="shared" si="0"/>
        <v>3.1349999999999999E-7</v>
      </c>
    </row>
    <row r="40" spans="1:7" x14ac:dyDescent="0.25">
      <c r="A40" t="s">
        <v>169</v>
      </c>
      <c r="B40">
        <v>3.3</v>
      </c>
      <c r="C40" t="s">
        <v>174</v>
      </c>
      <c r="D40" s="5">
        <f>115*10^-9</f>
        <v>1.1500000000000001E-7</v>
      </c>
      <c r="E40" s="5">
        <f>180*10^-9</f>
        <v>1.8000000000000002E-7</v>
      </c>
      <c r="G40" s="5">
        <f t="shared" si="0"/>
        <v>3.7950000000000003E-7</v>
      </c>
    </row>
    <row r="41" spans="1:7" x14ac:dyDescent="0.25">
      <c r="G41" s="5"/>
    </row>
    <row r="42" spans="1:7" ht="45" x14ac:dyDescent="0.25">
      <c r="A42" s="3" t="s">
        <v>114</v>
      </c>
      <c r="B42">
        <v>3.3</v>
      </c>
      <c r="C42" t="s">
        <v>178</v>
      </c>
      <c r="D42" s="5">
        <f>0.08</f>
        <v>0.08</v>
      </c>
      <c r="G42" s="5">
        <f t="shared" si="0"/>
        <v>0.26400000000000001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6A6DC-DF49-4F6D-8825-BAE0710590EF}">
  <dimension ref="A1:A38"/>
  <sheetViews>
    <sheetView zoomScale="160" zoomScaleNormal="160" workbookViewId="0">
      <selection activeCell="A20" sqref="A20"/>
    </sheetView>
  </sheetViews>
  <sheetFormatPr baseColWidth="10" defaultRowHeight="15" x14ac:dyDescent="0.25"/>
  <sheetData>
    <row r="1" spans="1:1" x14ac:dyDescent="0.25">
      <c r="A1" t="s">
        <v>3</v>
      </c>
    </row>
    <row r="2" spans="1:1" x14ac:dyDescent="0.25">
      <c r="A2" t="s">
        <v>40</v>
      </c>
    </row>
    <row r="3" spans="1:1" x14ac:dyDescent="0.25">
      <c r="A3" t="s">
        <v>4</v>
      </c>
    </row>
    <row r="4" spans="1:1" x14ac:dyDescent="0.25">
      <c r="A4" t="s">
        <v>5</v>
      </c>
    </row>
    <row r="5" spans="1:1" x14ac:dyDescent="0.25">
      <c r="A5" t="s">
        <v>6</v>
      </c>
    </row>
    <row r="6" spans="1:1" x14ac:dyDescent="0.25">
      <c r="A6" t="s">
        <v>7</v>
      </c>
    </row>
    <row r="7" spans="1:1" x14ac:dyDescent="0.25">
      <c r="A7" t="s">
        <v>8</v>
      </c>
    </row>
    <row r="8" spans="1:1" x14ac:dyDescent="0.25">
      <c r="A8" t="s">
        <v>9</v>
      </c>
    </row>
    <row r="9" spans="1:1" x14ac:dyDescent="0.25">
      <c r="A9" t="s">
        <v>10</v>
      </c>
    </row>
    <row r="10" spans="1:1" x14ac:dyDescent="0.25">
      <c r="A10" t="s">
        <v>11</v>
      </c>
    </row>
    <row r="11" spans="1:1" x14ac:dyDescent="0.25">
      <c r="A11" t="s">
        <v>12</v>
      </c>
    </row>
    <row r="12" spans="1:1" x14ac:dyDescent="0.25">
      <c r="A12" t="s">
        <v>13</v>
      </c>
    </row>
    <row r="13" spans="1:1" x14ac:dyDescent="0.25">
      <c r="A13" t="s">
        <v>14</v>
      </c>
    </row>
    <row r="14" spans="1:1" x14ac:dyDescent="0.25">
      <c r="A14" t="s">
        <v>15</v>
      </c>
    </row>
    <row r="15" spans="1:1" x14ac:dyDescent="0.25">
      <c r="A15" t="s">
        <v>16</v>
      </c>
    </row>
    <row r="16" spans="1:1" x14ac:dyDescent="0.25">
      <c r="A16" t="s">
        <v>17</v>
      </c>
    </row>
    <row r="17" spans="1:1" x14ac:dyDescent="0.25">
      <c r="A17" t="s">
        <v>18</v>
      </c>
    </row>
    <row r="18" spans="1:1" x14ac:dyDescent="0.25">
      <c r="A18" t="s">
        <v>19</v>
      </c>
    </row>
    <row r="19" spans="1:1" x14ac:dyDescent="0.25">
      <c r="A19" t="s">
        <v>20</v>
      </c>
    </row>
    <row r="20" spans="1:1" x14ac:dyDescent="0.25">
      <c r="A20" t="s">
        <v>21</v>
      </c>
    </row>
    <row r="21" spans="1:1" x14ac:dyDescent="0.25">
      <c r="A21" t="s">
        <v>22</v>
      </c>
    </row>
    <row r="22" spans="1:1" x14ac:dyDescent="0.25">
      <c r="A22" t="s">
        <v>23</v>
      </c>
    </row>
    <row r="23" spans="1:1" x14ac:dyDescent="0.25">
      <c r="A23" t="s">
        <v>24</v>
      </c>
    </row>
    <row r="24" spans="1:1" x14ac:dyDescent="0.25">
      <c r="A24" t="s">
        <v>25</v>
      </c>
    </row>
    <row r="25" spans="1:1" x14ac:dyDescent="0.25">
      <c r="A25" t="s">
        <v>26</v>
      </c>
    </row>
    <row r="26" spans="1:1" x14ac:dyDescent="0.25">
      <c r="A26" t="s">
        <v>27</v>
      </c>
    </row>
    <row r="27" spans="1:1" x14ac:dyDescent="0.25">
      <c r="A27" t="s">
        <v>28</v>
      </c>
    </row>
    <row r="28" spans="1:1" x14ac:dyDescent="0.25">
      <c r="A28" t="s">
        <v>29</v>
      </c>
    </row>
    <row r="29" spans="1:1" x14ac:dyDescent="0.25">
      <c r="A29" t="s">
        <v>30</v>
      </c>
    </row>
    <row r="30" spans="1:1" x14ac:dyDescent="0.25">
      <c r="A30" t="s">
        <v>31</v>
      </c>
    </row>
    <row r="31" spans="1:1" x14ac:dyDescent="0.25">
      <c r="A31" t="s">
        <v>32</v>
      </c>
    </row>
    <row r="32" spans="1:1" x14ac:dyDescent="0.25">
      <c r="A32" t="s">
        <v>33</v>
      </c>
    </row>
    <row r="33" spans="1:1" x14ac:dyDescent="0.25">
      <c r="A33" t="s">
        <v>34</v>
      </c>
    </row>
    <row r="34" spans="1:1" x14ac:dyDescent="0.25">
      <c r="A34" t="s">
        <v>35</v>
      </c>
    </row>
    <row r="35" spans="1:1" x14ac:dyDescent="0.25">
      <c r="A35" t="s">
        <v>36</v>
      </c>
    </row>
    <row r="36" spans="1:1" x14ac:dyDescent="0.25">
      <c r="A36" t="s">
        <v>37</v>
      </c>
    </row>
    <row r="37" spans="1:1" x14ac:dyDescent="0.25">
      <c r="A37" t="s">
        <v>38</v>
      </c>
    </row>
    <row r="38" spans="1:1" x14ac:dyDescent="0.25">
      <c r="A38" t="s">
        <v>39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EC063-5C07-4E1F-B40C-607F2D8A6579}">
  <dimension ref="A1:E8"/>
  <sheetViews>
    <sheetView zoomScale="190" zoomScaleNormal="190" workbookViewId="0">
      <selection activeCell="E7" sqref="E7"/>
    </sheetView>
  </sheetViews>
  <sheetFormatPr baseColWidth="10" defaultRowHeight="15" x14ac:dyDescent="0.25"/>
  <cols>
    <col min="3" max="3" width="11.42578125" style="2"/>
  </cols>
  <sheetData>
    <row r="1" spans="1:5" x14ac:dyDescent="0.25">
      <c r="A1" t="s">
        <v>84</v>
      </c>
      <c r="B1" t="s">
        <v>41</v>
      </c>
      <c r="C1" s="2" t="s">
        <v>43</v>
      </c>
      <c r="E1" t="s">
        <v>105</v>
      </c>
    </row>
    <row r="2" spans="1:5" x14ac:dyDescent="0.25">
      <c r="A2" t="s">
        <v>85</v>
      </c>
      <c r="B2" t="s">
        <v>42</v>
      </c>
      <c r="C2" s="2" t="s">
        <v>44</v>
      </c>
      <c r="E2" t="s">
        <v>95</v>
      </c>
    </row>
    <row r="3" spans="1:5" x14ac:dyDescent="0.25">
      <c r="A3" t="s">
        <v>82</v>
      </c>
      <c r="B3" t="s">
        <v>83</v>
      </c>
      <c r="C3" s="2">
        <v>1110110</v>
      </c>
      <c r="D3" t="s">
        <v>86</v>
      </c>
      <c r="E3" t="s">
        <v>88</v>
      </c>
    </row>
    <row r="4" spans="1:5" x14ac:dyDescent="0.25">
      <c r="C4" s="2">
        <v>1110111</v>
      </c>
      <c r="D4" t="s">
        <v>87</v>
      </c>
      <c r="E4" t="s">
        <v>89</v>
      </c>
    </row>
    <row r="5" spans="1:5" x14ac:dyDescent="0.25">
      <c r="A5" t="s">
        <v>90</v>
      </c>
      <c r="B5" t="s">
        <v>91</v>
      </c>
      <c r="C5" s="2">
        <v>1011100</v>
      </c>
      <c r="D5" t="s">
        <v>93</v>
      </c>
      <c r="E5" t="s">
        <v>96</v>
      </c>
    </row>
    <row r="6" spans="1:5" x14ac:dyDescent="0.25">
      <c r="C6" s="2" t="s">
        <v>92</v>
      </c>
      <c r="D6" t="s">
        <v>94</v>
      </c>
      <c r="E6" t="s">
        <v>97</v>
      </c>
    </row>
    <row r="7" spans="1:5" x14ac:dyDescent="0.25">
      <c r="A7" t="s">
        <v>100</v>
      </c>
      <c r="C7" s="2">
        <v>1101010</v>
      </c>
      <c r="D7" t="s">
        <v>101</v>
      </c>
      <c r="E7" t="s">
        <v>103</v>
      </c>
    </row>
    <row r="8" spans="1:5" x14ac:dyDescent="0.25">
      <c r="C8" s="2">
        <v>1101011</v>
      </c>
      <c r="D8" t="s">
        <v>102</v>
      </c>
      <c r="E8" t="s">
        <v>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B18EB-FCCE-48E9-9C67-959C0750CAA6}">
  <dimension ref="A1:E21"/>
  <sheetViews>
    <sheetView zoomScale="160" zoomScaleNormal="160" workbookViewId="0">
      <selection activeCell="D14" sqref="D14"/>
    </sheetView>
  </sheetViews>
  <sheetFormatPr baseColWidth="10" defaultRowHeight="15" x14ac:dyDescent="0.25"/>
  <cols>
    <col min="1" max="1" width="14.85546875" customWidth="1"/>
    <col min="2" max="3" width="14" bestFit="1" customWidth="1"/>
  </cols>
  <sheetData>
    <row r="1" spans="1:5" x14ac:dyDescent="0.25">
      <c r="A1" t="s">
        <v>41</v>
      </c>
      <c r="B1" t="s">
        <v>45</v>
      </c>
      <c r="C1" t="s">
        <v>46</v>
      </c>
      <c r="D1" t="s">
        <v>65</v>
      </c>
    </row>
    <row r="2" spans="1:5" x14ac:dyDescent="0.25">
      <c r="A2" t="s">
        <v>42</v>
      </c>
      <c r="B2" t="s">
        <v>47</v>
      </c>
      <c r="C2">
        <v>5.5</v>
      </c>
      <c r="D2" t="s">
        <v>61</v>
      </c>
    </row>
    <row r="3" spans="1:5" x14ac:dyDescent="0.25">
      <c r="B3" t="s">
        <v>60</v>
      </c>
      <c r="C3">
        <v>3.3</v>
      </c>
      <c r="D3" t="s">
        <v>61</v>
      </c>
    </row>
    <row r="4" spans="1:5" x14ac:dyDescent="0.25">
      <c r="B4" t="s">
        <v>48</v>
      </c>
      <c r="C4">
        <v>1.1000000000000001</v>
      </c>
      <c r="D4" t="s">
        <v>61</v>
      </c>
    </row>
    <row r="5" spans="1:5" x14ac:dyDescent="0.25">
      <c r="B5" t="s">
        <v>49</v>
      </c>
      <c r="C5">
        <f>60*10^-9</f>
        <v>6.0000000000000008E-8</v>
      </c>
      <c r="D5" t="s">
        <v>63</v>
      </c>
    </row>
    <row r="6" spans="1:5" x14ac:dyDescent="0.25">
      <c r="B6" t="s">
        <v>50</v>
      </c>
      <c r="C6">
        <f>45*10^-9</f>
        <v>4.5000000000000006E-8</v>
      </c>
      <c r="D6" t="s">
        <v>63</v>
      </c>
    </row>
    <row r="7" spans="1:5" x14ac:dyDescent="0.25">
      <c r="A7" t="s">
        <v>51</v>
      </c>
      <c r="B7" t="s">
        <v>52</v>
      </c>
      <c r="C7">
        <v>0.22</v>
      </c>
      <c r="D7" t="s">
        <v>64</v>
      </c>
      <c r="E7" t="s">
        <v>55</v>
      </c>
    </row>
    <row r="8" spans="1:5" x14ac:dyDescent="0.25">
      <c r="A8" t="s">
        <v>53</v>
      </c>
      <c r="B8" t="s">
        <v>56</v>
      </c>
      <c r="C8">
        <v>0.34</v>
      </c>
      <c r="D8" t="s">
        <v>61</v>
      </c>
      <c r="E8" t="s">
        <v>54</v>
      </c>
    </row>
    <row r="9" spans="1:5" x14ac:dyDescent="0.25">
      <c r="B9" t="s">
        <v>57</v>
      </c>
      <c r="C9">
        <f>100*10^-9</f>
        <v>1.0000000000000001E-7</v>
      </c>
      <c r="D9" t="s">
        <v>63</v>
      </c>
    </row>
    <row r="11" spans="1:5" x14ac:dyDescent="0.25">
      <c r="A11" t="s">
        <v>73</v>
      </c>
      <c r="B11" t="s">
        <v>58</v>
      </c>
      <c r="C11" t="s">
        <v>59</v>
      </c>
    </row>
    <row r="12" spans="1:5" x14ac:dyDescent="0.25">
      <c r="B12" s="1">
        <f>$C$7*($C$3-$C$8-$C$4)/($C$6+$C$9)</f>
        <v>2822068.9655172406</v>
      </c>
      <c r="C12" s="1">
        <f>$C$7*($C$3-$C$8-$C$4)/($C$5+$C$9)</f>
        <v>2557499.9999999995</v>
      </c>
      <c r="D12" t="s">
        <v>66</v>
      </c>
    </row>
    <row r="13" spans="1:5" x14ac:dyDescent="0.25">
      <c r="B13" s="1">
        <f>B12/3600</f>
        <v>783.90804597701128</v>
      </c>
      <c r="C13" s="1">
        <f>C12/3600</f>
        <v>710.41666666666652</v>
      </c>
      <c r="D13" t="s">
        <v>67</v>
      </c>
    </row>
    <row r="14" spans="1:5" x14ac:dyDescent="0.25">
      <c r="B14" s="1">
        <f>B13/24</f>
        <v>32.662835249042139</v>
      </c>
      <c r="C14" s="1">
        <f>C13/24</f>
        <v>29.600694444444439</v>
      </c>
      <c r="D14" t="s">
        <v>68</v>
      </c>
    </row>
    <row r="16" spans="1:5" x14ac:dyDescent="0.25">
      <c r="A16" t="s">
        <v>53</v>
      </c>
      <c r="B16" t="s">
        <v>69</v>
      </c>
      <c r="C16">
        <f>50*10^-3</f>
        <v>0.05</v>
      </c>
      <c r="D16" t="s">
        <v>63</v>
      </c>
    </row>
    <row r="17" spans="1:4" x14ac:dyDescent="0.25">
      <c r="A17" t="s">
        <v>70</v>
      </c>
      <c r="B17" t="s">
        <v>71</v>
      </c>
      <c r="C17">
        <v>1000</v>
      </c>
      <c r="D17" t="s">
        <v>72</v>
      </c>
    </row>
    <row r="18" spans="1:4" x14ac:dyDescent="0.25">
      <c r="A18" t="s">
        <v>74</v>
      </c>
      <c r="B18" t="s">
        <v>75</v>
      </c>
      <c r="C18">
        <f>C3-C8</f>
        <v>2.96</v>
      </c>
      <c r="D18" t="s">
        <v>61</v>
      </c>
    </row>
    <row r="19" spans="1:4" x14ac:dyDescent="0.25">
      <c r="A19" t="s">
        <v>76</v>
      </c>
      <c r="B19" t="s">
        <v>77</v>
      </c>
      <c r="C19">
        <f>C17*C7</f>
        <v>220</v>
      </c>
      <c r="D19" t="s">
        <v>66</v>
      </c>
    </row>
    <row r="20" spans="1:4" x14ac:dyDescent="0.25">
      <c r="A20" t="s">
        <v>78</v>
      </c>
      <c r="B20" t="s">
        <v>79</v>
      </c>
      <c r="C20">
        <f>5*C19</f>
        <v>1100</v>
      </c>
      <c r="D20" t="s">
        <v>66</v>
      </c>
    </row>
    <row r="21" spans="1:4" x14ac:dyDescent="0.25">
      <c r="A21" t="s">
        <v>80</v>
      </c>
      <c r="B21" t="s">
        <v>62</v>
      </c>
      <c r="C21">
        <f>C18/C17</f>
        <v>2.96E-3</v>
      </c>
      <c r="D21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Compos</vt:lpstr>
      <vt:lpstr>Power</vt:lpstr>
      <vt:lpstr>ESP32-pins</vt:lpstr>
      <vt:lpstr>I2C</vt:lpstr>
      <vt:lpstr>RTC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NAVEZ la218312</dc:creator>
  <cp:lastModifiedBy>Julien NAVEZ la218312</cp:lastModifiedBy>
  <dcterms:created xsi:type="dcterms:W3CDTF">2025-08-11T21:22:31Z</dcterms:created>
  <dcterms:modified xsi:type="dcterms:W3CDTF">2025-08-14T16:28:31Z</dcterms:modified>
</cp:coreProperties>
</file>